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ed2132da9f1d29/1A_Kukklub_Dolgoz/Kukklub_2014_0301/Tevékenység/AgrInfo/Fajtakísérletezés/TOP20/Top20_K/Top2024/Kommunika_Top20_2024/Közlés_Top20_24/"/>
    </mc:Choice>
  </mc:AlternateContent>
  <xr:revisionPtr revIDLastSave="0" documentId="8_{24D435DE-D22F-4573-84D9-5C102929E478}" xr6:coauthVersionLast="47" xr6:coauthVersionMax="47" xr10:uidLastSave="{00000000-0000-0000-0000-000000000000}"/>
  <workbookProtection workbookAlgorithmName="SHA-512" workbookHashValue="PdZdcudaMA+r+uzbcbQnqyRMC2O3nG+YxXxqKhuot0qYnsmFovgVBcSKUIvH4A+JU3fGzkm8erKFe38snCb6Cw==" workbookSaltValue="7RGznWuOirBNIQGmdRa9ZQ==" workbookSpinCount="100000" lockStructure="1"/>
  <bookViews>
    <workbookView xWindow="-108" yWindow="-108" windowWidth="23256" windowHeight="12456" activeTab="1" xr2:uid="{EAAE0B03-FB93-45D2-BC97-F41D099C8355}"/>
  </bookViews>
  <sheets>
    <sheet name="info" sheetId="2" r:id="rId1"/>
    <sheet name="Trend" sheetId="1" r:id="rId2"/>
    <sheet name="KRITÉRIUM" sheetId="6" state="hidden" r:id="rId3"/>
    <sheet name="Munka1" sheetId="5" state="hidden" r:id="rId4"/>
    <sheet name="Dia" sheetId="4" state="hidden" r:id="rId5"/>
  </sheets>
  <definedNames>
    <definedName name="_xlnm._FilterDatabase" localSheetId="3" hidden="1">Munka1!$A$1:$Q$30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A21" i="1"/>
  <c r="K16" i="1" l="1"/>
  <c r="B16" i="1"/>
  <c r="E14" i="5"/>
  <c r="E25" i="5"/>
  <c r="D6" i="5"/>
  <c r="D14" i="5"/>
  <c r="D25" i="5"/>
  <c r="A30" i="5"/>
  <c r="N30" i="5" s="1"/>
  <c r="A29" i="5"/>
  <c r="N29" i="5" s="1"/>
  <c r="A28" i="5"/>
  <c r="J28" i="5" s="1"/>
  <c r="A27" i="5"/>
  <c r="L27" i="5" s="1"/>
  <c r="A26" i="5"/>
  <c r="N26" i="5" s="1"/>
  <c r="A25" i="5"/>
  <c r="N25" i="5" s="1"/>
  <c r="A24" i="5"/>
  <c r="E24" i="5" s="1"/>
  <c r="A23" i="5"/>
  <c r="L23" i="5" s="1"/>
  <c r="A22" i="5"/>
  <c r="H22" i="5" s="1"/>
  <c r="A21" i="5"/>
  <c r="N21" i="5" s="1"/>
  <c r="A20" i="5"/>
  <c r="J20" i="5" s="1"/>
  <c r="A19" i="5"/>
  <c r="J19" i="5" s="1"/>
  <c r="A18" i="5"/>
  <c r="J18" i="5" s="1"/>
  <c r="A17" i="5"/>
  <c r="N17" i="5" s="1"/>
  <c r="A16" i="5"/>
  <c r="K16" i="5" s="1"/>
  <c r="A15" i="5"/>
  <c r="N15" i="5" s="1"/>
  <c r="H14" i="5"/>
  <c r="A14" i="5"/>
  <c r="N14" i="5" s="1"/>
  <c r="N13" i="5"/>
  <c r="C13" i="5"/>
  <c r="A13" i="5"/>
  <c r="I13" i="5" s="1"/>
  <c r="I12" i="5"/>
  <c r="A12" i="5"/>
  <c r="K12" i="5" s="1"/>
  <c r="A11" i="5"/>
  <c r="H11" i="5" s="1"/>
  <c r="A10" i="5"/>
  <c r="N10" i="5" s="1"/>
  <c r="A9" i="5"/>
  <c r="N9" i="5" s="1"/>
  <c r="A8" i="5"/>
  <c r="K8" i="5" s="1"/>
  <c r="A7" i="5"/>
  <c r="N7" i="5" s="1"/>
  <c r="H6" i="5"/>
  <c r="A6" i="5"/>
  <c r="N6" i="5" s="1"/>
  <c r="N5" i="5"/>
  <c r="F5" i="5"/>
  <c r="C5" i="5"/>
  <c r="A5" i="5"/>
  <c r="I5" i="5" s="1"/>
  <c r="A4" i="5"/>
  <c r="K4" i="5" s="1"/>
  <c r="A3" i="5"/>
  <c r="H3" i="5" s="1"/>
  <c r="A2" i="5"/>
  <c r="N2" i="5" s="1"/>
  <c r="B4" i="5" l="1"/>
  <c r="D30" i="5"/>
  <c r="D22" i="5"/>
  <c r="D13" i="5"/>
  <c r="E30" i="5"/>
  <c r="E22" i="5"/>
  <c r="E10" i="5"/>
  <c r="K25" i="5"/>
  <c r="D29" i="5"/>
  <c r="D18" i="5"/>
  <c r="D10" i="5"/>
  <c r="E29" i="5"/>
  <c r="E18" i="5"/>
  <c r="E9" i="5"/>
  <c r="I4" i="5"/>
  <c r="B12" i="5"/>
  <c r="F13" i="5"/>
  <c r="K29" i="5"/>
  <c r="D26" i="5"/>
  <c r="D17" i="5"/>
  <c r="D9" i="5"/>
  <c r="E26" i="5"/>
  <c r="E17" i="5"/>
  <c r="E6" i="5"/>
  <c r="J11" i="5"/>
  <c r="I21" i="5"/>
  <c r="K11" i="5"/>
  <c r="I14" i="5"/>
  <c r="B19" i="5"/>
  <c r="B21" i="5"/>
  <c r="B23" i="5"/>
  <c r="F24" i="5"/>
  <c r="B27" i="5"/>
  <c r="D21" i="5"/>
  <c r="D5" i="5"/>
  <c r="E21" i="5"/>
  <c r="E13" i="5"/>
  <c r="E5" i="5"/>
  <c r="C10" i="1"/>
  <c r="C3" i="5"/>
  <c r="N3" i="5"/>
  <c r="N4" i="5"/>
  <c r="J5" i="5"/>
  <c r="B6" i="5"/>
  <c r="K6" i="5"/>
  <c r="C11" i="5"/>
  <c r="N11" i="5"/>
  <c r="N12" i="5"/>
  <c r="J13" i="5"/>
  <c r="B14" i="5"/>
  <c r="K14" i="5"/>
  <c r="C19" i="5"/>
  <c r="M19" i="5"/>
  <c r="C21" i="5"/>
  <c r="M21" i="5"/>
  <c r="K23" i="5"/>
  <c r="N24" i="5"/>
  <c r="C26" i="5"/>
  <c r="K27" i="5"/>
  <c r="N28" i="5"/>
  <c r="C30" i="5"/>
  <c r="D28" i="5"/>
  <c r="D24" i="5"/>
  <c r="D20" i="5"/>
  <c r="D16" i="5"/>
  <c r="D12" i="5"/>
  <c r="D8" i="5"/>
  <c r="D4" i="5"/>
  <c r="E28" i="5"/>
  <c r="E20" i="5"/>
  <c r="E16" i="5"/>
  <c r="E12" i="5"/>
  <c r="E8" i="5"/>
  <c r="E4" i="5"/>
  <c r="J3" i="5"/>
  <c r="I19" i="5"/>
  <c r="B3" i="5"/>
  <c r="K3" i="5"/>
  <c r="I6" i="5"/>
  <c r="B11" i="5"/>
  <c r="K19" i="5"/>
  <c r="K21" i="5"/>
  <c r="F3" i="5"/>
  <c r="L5" i="5"/>
  <c r="C6" i="5"/>
  <c r="M6" i="5"/>
  <c r="F11" i="5"/>
  <c r="L13" i="5"/>
  <c r="C14" i="5"/>
  <c r="M14" i="5"/>
  <c r="H19" i="5"/>
  <c r="H21" i="5"/>
  <c r="M23" i="5"/>
  <c r="H26" i="5"/>
  <c r="M27" i="5"/>
  <c r="H30" i="5"/>
  <c r="D27" i="5"/>
  <c r="D23" i="5"/>
  <c r="D19" i="5"/>
  <c r="D15" i="5"/>
  <c r="D11" i="5"/>
  <c r="D7" i="5"/>
  <c r="D3" i="5"/>
  <c r="E27" i="5"/>
  <c r="E23" i="5"/>
  <c r="E19" i="5"/>
  <c r="E15" i="5"/>
  <c r="E11" i="5"/>
  <c r="E7" i="5"/>
  <c r="E3" i="5"/>
  <c r="G2" i="5"/>
  <c r="L2" i="5"/>
  <c r="H7" i="5"/>
  <c r="H15" i="5"/>
  <c r="G18" i="5"/>
  <c r="L18" i="5"/>
  <c r="C7" i="1"/>
  <c r="B7" i="5"/>
  <c r="B8" i="5"/>
  <c r="C9" i="5"/>
  <c r="J9" i="5"/>
  <c r="B10" i="5"/>
  <c r="H10" i="5"/>
  <c r="M10" i="5"/>
  <c r="B15" i="5"/>
  <c r="J15" i="5"/>
  <c r="B16" i="5"/>
  <c r="C17" i="5"/>
  <c r="J17" i="5"/>
  <c r="B18" i="5"/>
  <c r="H18" i="5"/>
  <c r="M18" i="5"/>
  <c r="B20" i="5"/>
  <c r="H20" i="5"/>
  <c r="M20" i="5"/>
  <c r="C22" i="5"/>
  <c r="G25" i="5"/>
  <c r="L25" i="5"/>
  <c r="G29" i="5"/>
  <c r="L29" i="5"/>
  <c r="C6" i="1"/>
  <c r="C2" i="5"/>
  <c r="I2" i="5"/>
  <c r="G6" i="5"/>
  <c r="L6" i="5"/>
  <c r="C7" i="5"/>
  <c r="K7" i="5"/>
  <c r="I8" i="5"/>
  <c r="L9" i="5"/>
  <c r="C10" i="5"/>
  <c r="I10" i="5"/>
  <c r="G14" i="5"/>
  <c r="L14" i="5"/>
  <c r="C15" i="5"/>
  <c r="K15" i="5"/>
  <c r="I16" i="5"/>
  <c r="L17" i="5"/>
  <c r="C18" i="5"/>
  <c r="I18" i="5"/>
  <c r="G19" i="5"/>
  <c r="L19" i="5"/>
  <c r="C20" i="5"/>
  <c r="I20" i="5"/>
  <c r="G21" i="5"/>
  <c r="L21" i="5"/>
  <c r="L22" i="5"/>
  <c r="G23" i="5"/>
  <c r="B25" i="5"/>
  <c r="H25" i="5"/>
  <c r="M25" i="5"/>
  <c r="L26" i="5"/>
  <c r="G27" i="5"/>
  <c r="B29" i="5"/>
  <c r="H29" i="5"/>
  <c r="M29" i="5"/>
  <c r="L30" i="5"/>
  <c r="I9" i="5"/>
  <c r="G10" i="5"/>
  <c r="L10" i="5"/>
  <c r="I17" i="5"/>
  <c r="G20" i="5"/>
  <c r="L20" i="5"/>
  <c r="B2" i="5"/>
  <c r="H2" i="5"/>
  <c r="C18" i="1" s="1"/>
  <c r="M2" i="5"/>
  <c r="J7" i="5"/>
  <c r="C11" i="1"/>
  <c r="E2" i="5"/>
  <c r="K2" i="5"/>
  <c r="F7" i="5"/>
  <c r="N8" i="5"/>
  <c r="F9" i="5"/>
  <c r="K10" i="5"/>
  <c r="F15" i="5"/>
  <c r="N16" i="5"/>
  <c r="F17" i="5"/>
  <c r="K18" i="5"/>
  <c r="K20" i="5"/>
  <c r="I23" i="5"/>
  <c r="C25" i="5"/>
  <c r="I25" i="5"/>
  <c r="I27" i="5"/>
  <c r="C29" i="5"/>
  <c r="I29" i="5"/>
  <c r="D2" i="5"/>
  <c r="C13" i="1"/>
  <c r="C9" i="1"/>
  <c r="C5" i="1"/>
  <c r="M3" i="5"/>
  <c r="I3" i="5"/>
  <c r="G3" i="5"/>
  <c r="L3" i="5"/>
  <c r="J4" i="5"/>
  <c r="K5" i="5"/>
  <c r="G5" i="5"/>
  <c r="B5" i="5"/>
  <c r="H5" i="5"/>
  <c r="M5" i="5"/>
  <c r="M7" i="5"/>
  <c r="I7" i="5"/>
  <c r="G7" i="5"/>
  <c r="L7" i="5"/>
  <c r="J8" i="5"/>
  <c r="K9" i="5"/>
  <c r="G9" i="5"/>
  <c r="B9" i="5"/>
  <c r="H9" i="5"/>
  <c r="M9" i="5"/>
  <c r="M11" i="5"/>
  <c r="I11" i="5"/>
  <c r="G11" i="5"/>
  <c r="L11" i="5"/>
  <c r="J12" i="5"/>
  <c r="K13" i="5"/>
  <c r="G13" i="5"/>
  <c r="B13" i="5"/>
  <c r="H13" i="5"/>
  <c r="M13" i="5"/>
  <c r="M15" i="5"/>
  <c r="I15" i="5"/>
  <c r="G15" i="5"/>
  <c r="L15" i="5"/>
  <c r="J16" i="5"/>
  <c r="K17" i="5"/>
  <c r="G17" i="5"/>
  <c r="B17" i="5"/>
  <c r="H17" i="5"/>
  <c r="M17" i="5"/>
  <c r="F22" i="5"/>
  <c r="N22" i="5"/>
  <c r="L24" i="5"/>
  <c r="H24" i="5"/>
  <c r="C24" i="5"/>
  <c r="K24" i="5"/>
  <c r="G24" i="5"/>
  <c r="B24" i="5"/>
  <c r="M24" i="5"/>
  <c r="I24" i="5"/>
  <c r="C12" i="1"/>
  <c r="C8" i="1"/>
  <c r="C4" i="1"/>
  <c r="F4" i="5"/>
  <c r="F8" i="5"/>
  <c r="F12" i="5"/>
  <c r="F16" i="5"/>
  <c r="L28" i="5"/>
  <c r="H28" i="5"/>
  <c r="C28" i="5"/>
  <c r="K28" i="5"/>
  <c r="G28" i="5"/>
  <c r="B28" i="5"/>
  <c r="M28" i="5"/>
  <c r="I28" i="5"/>
  <c r="L4" i="5"/>
  <c r="H4" i="5"/>
  <c r="L18" i="1" s="1"/>
  <c r="C4" i="5"/>
  <c r="G4" i="5"/>
  <c r="M4" i="5"/>
  <c r="L8" i="5"/>
  <c r="H8" i="5"/>
  <c r="C8" i="5"/>
  <c r="G8" i="5"/>
  <c r="M8" i="5"/>
  <c r="L12" i="5"/>
  <c r="H12" i="5"/>
  <c r="C12" i="5"/>
  <c r="G12" i="5"/>
  <c r="M12" i="5"/>
  <c r="L16" i="5"/>
  <c r="H16" i="5"/>
  <c r="C16" i="5"/>
  <c r="G16" i="5"/>
  <c r="M16" i="5"/>
  <c r="M22" i="5"/>
  <c r="I22" i="5"/>
  <c r="K22" i="5"/>
  <c r="G22" i="5"/>
  <c r="B22" i="5"/>
  <c r="J22" i="5"/>
  <c r="J24" i="5"/>
  <c r="F28" i="5"/>
  <c r="F23" i="5"/>
  <c r="J23" i="5"/>
  <c r="N23" i="5"/>
  <c r="B26" i="5"/>
  <c r="G26" i="5"/>
  <c r="K26" i="5"/>
  <c r="F27" i="5"/>
  <c r="J27" i="5"/>
  <c r="N27" i="5"/>
  <c r="B30" i="5"/>
  <c r="G30" i="5"/>
  <c r="K30" i="5"/>
  <c r="F2" i="5"/>
  <c r="J2" i="5"/>
  <c r="F6" i="5"/>
  <c r="J6" i="5"/>
  <c r="F10" i="5"/>
  <c r="J10" i="5"/>
  <c r="F14" i="5"/>
  <c r="J14" i="5"/>
  <c r="F18" i="5"/>
  <c r="F19" i="5"/>
  <c r="F20" i="5"/>
  <c r="F21" i="5"/>
  <c r="J21" i="5"/>
  <c r="C23" i="5"/>
  <c r="H23" i="5"/>
  <c r="F25" i="5"/>
  <c r="J25" i="5"/>
  <c r="I26" i="5"/>
  <c r="M26" i="5"/>
  <c r="C27" i="5"/>
  <c r="H27" i="5"/>
  <c r="F29" i="5"/>
  <c r="J29" i="5"/>
  <c r="I30" i="5"/>
  <c r="M30" i="5"/>
  <c r="F26" i="5"/>
  <c r="J26" i="5"/>
  <c r="F30" i="5"/>
  <c r="J30" i="5"/>
  <c r="K17" i="1"/>
  <c r="L17" i="1"/>
  <c r="K18" i="1"/>
  <c r="K20" i="1"/>
  <c r="L20" i="1"/>
  <c r="K19" i="1"/>
  <c r="L19" i="1"/>
  <c r="B20" i="1"/>
  <c r="C17" i="1"/>
  <c r="B19" i="1"/>
  <c r="C19" i="1"/>
  <c r="B15" i="1"/>
  <c r="C14" i="1"/>
  <c r="B3" i="1"/>
  <c r="C3" i="1"/>
  <c r="C20" i="1"/>
  <c r="D3" i="1" l="1"/>
  <c r="K21" i="1"/>
  <c r="K3" i="1"/>
  <c r="N3" i="1" s="1"/>
  <c r="B21" i="1"/>
  <c r="K1" i="1"/>
  <c r="F3" i="1"/>
  <c r="E3" i="1" s="1"/>
  <c r="C21" i="1"/>
  <c r="C15" i="1"/>
  <c r="B5" i="1"/>
  <c r="F5" i="1" s="1"/>
  <c r="E5" i="1" s="1"/>
  <c r="B9" i="1"/>
  <c r="F9" i="1" s="1"/>
  <c r="E9" i="1" s="1"/>
  <c r="B13" i="1"/>
  <c r="F13" i="1" s="1"/>
  <c r="E13" i="1" s="1"/>
  <c r="B6" i="1"/>
  <c r="F6" i="1" s="1"/>
  <c r="E6" i="1" s="1"/>
  <c r="B10" i="1"/>
  <c r="F10" i="1" s="1"/>
  <c r="E10" i="1" s="1"/>
  <c r="B14" i="1"/>
  <c r="F14" i="1" s="1"/>
  <c r="E14" i="1" s="1"/>
  <c r="B4" i="1"/>
  <c r="F4" i="1" s="1"/>
  <c r="E4" i="1" s="1"/>
  <c r="B8" i="1"/>
  <c r="F8" i="1" s="1"/>
  <c r="E8" i="1" s="1"/>
  <c r="B12" i="1"/>
  <c r="F12" i="1" s="1"/>
  <c r="E12" i="1" s="1"/>
  <c r="B7" i="1"/>
  <c r="F7" i="1" s="1"/>
  <c r="E7" i="1" s="1"/>
  <c r="B11" i="1"/>
  <c r="F11" i="1" s="1"/>
  <c r="E11" i="1" s="1"/>
  <c r="G24" i="2"/>
  <c r="B18" i="1"/>
  <c r="B17" i="1"/>
  <c r="N1" i="1" l="1"/>
  <c r="K15" i="1"/>
  <c r="L21" i="1"/>
  <c r="F15" i="1"/>
  <c r="E15" i="1" s="1"/>
  <c r="J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tc={C5F97A36-1D39-4E1B-855A-08219B0DF262}</author>
    <author>tc={76BBE336-EF36-4B10-BAA8-BD7A49FE8348}</author>
    <author>tc={1844C92A-7DCB-4AB5-A5A5-2744726B5B87}</author>
    <author>tc={9C47C354-02D9-4D85-82EF-BB0144CEDF86}</author>
    <author>tc={009FF5DF-EDF9-4D3F-B143-8CC4DD9FDDF8}</author>
    <author>tc={003B8A88-87E5-418A-A8FE-30D64D614BA0}</author>
    <author>tc={A5B49F99-1EB5-413D-9A33-0CA86D4E8244}</author>
    <author>tc={2712AE1F-602F-4BDE-8050-A22F71D58759}</author>
    <author>tc={F659C64B-9746-4A09-B7FE-15CFB7BDCD6F}</author>
    <author>tc={3D6F9ABD-76C4-42DE-A27B-01E461F81841}</author>
    <author>tc={129DF883-37AA-40FC-8194-4C5172B3C9D7}</author>
    <author>tc={83036945-292E-4754-83F4-0A80B5299522}</author>
    <author>tc={9AF63856-2088-4B78-83CF-C3425C9C685B}</author>
    <author>tc={36EE6CEA-00B9-41A5-8FE0-B6A53FF61CF5}</author>
    <author>tc={A7E5FFFF-32AC-4AE6-B212-B4D4E9F577C7}</author>
    <author>tc={0CB5B2B3-8BE8-4A66-BB69-0B198608275F}</author>
    <author>tc={59FCD2AF-427E-4535-9A74-441BED0A8F59}</author>
    <author>tc={9FEFF3AD-94AE-4E1A-ADD9-5C8ACEA74869}</author>
    <author>tc={0B46E498-DE36-416D-9903-5E73667D6249}</author>
    <author>tc={B9710E4F-187A-4142-BC74-F3BC0EBFCCFD}</author>
    <author>tc={F2C84F77-A4DE-43AF-B1E8-C275AA929302}</author>
    <author>tc={3C9634EA-2CC7-4D81-BDFF-4681E9203E28}</author>
    <author>tc={B25E6289-85D5-40E0-9C9B-4570232E7C59}</author>
    <author>tc={198F9B98-CE8D-4715-935E-54368E640D16}</author>
    <author>tc={824D7216-D548-4713-A5B8-75EF9EAA6DEF}</author>
    <author>tc={15259350-B992-47FA-9C2A-ABF2F6D2B28D}</author>
    <author>tc={0856273D-1F2E-45A8-8D9F-D446F97F3079}</author>
    <author>tc={6A95DFE3-CF70-436B-87B6-68B09FF2F92C}</author>
    <author>tc={1E7BEE9C-48B3-421C-94F3-9E575E01777C}</author>
    <author>tc={84B88BB6-90D7-4FCF-AAEC-1AB476A3E7F8}</author>
    <author>tc={E8B8782F-587C-49F0-BE44-915332F790B2}</author>
    <author>tc={C2C1197C-6603-4F52-90CA-A5D98223C571}</author>
    <author>tc={051EC168-AC5E-48FB-8E43-47308B8C006D}</author>
    <author>tc={E5A57D42-9911-4F2C-860C-9EB77B50BD23}</author>
    <author>tc={4E559475-7B4B-4361-B01C-1DF457E12C74}</author>
    <author>tc={0C8C934B-0BFD-45F2-BC9F-15E8C138A35C}</author>
    <author>tc={58D080EF-D443-4894-9B29-3BDBA5629405}</author>
    <author>tc={61138847-BDB8-4C5A-94D6-A83AF1CD70EC}</author>
    <author>tc={A66CDDE7-6979-4698-8515-1C1849E1EA3B}</author>
    <author>tc={8CC833F3-5F43-467E-9AFC-48DC7286D8C6}</author>
    <author>tc={E73C00E2-662D-4ED9-A09F-F1A6E755EC6F}</author>
    <author>tc={F9FB2DAD-2876-4336-B16B-9DBDFF961A5C}</author>
  </authors>
  <commentList>
    <comment ref="A1" authorId="0" shapeId="0" xr:uid="{C5F97A36-1D39-4E1B-855A-08219B0DF26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Ebben a táblázatban a 2024-es év Top20 kísérleteinek adatai alapján tudod összehasonlítani a hibridek eredményeit.</t>
      </text>
    </comment>
    <comment ref="B1" authorId="1" shapeId="0" xr:uid="{76BBE336-EF36-4B10-BAA8-BD7A49FE834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legnagyobb termést adó hely adata</t>
      </text>
    </comment>
    <comment ref="C1" authorId="2" shapeId="0" xr:uid="{1844C92A-7DCB-4AB5-A5A5-2744726B5B87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legkisebb termést adó hely adata</t>
      </text>
    </comment>
    <comment ref="E1" authorId="3" shapeId="0" xr:uid="{9C47C354-02D9-4D85-82EF-BB0144CEDF8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változás jellege</t>
      </text>
    </comment>
    <comment ref="F1" authorId="4" shapeId="0" xr:uid="{009FF5DF-EDF9-4D3F-B143-8CC4DD9FDDF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10000-es tőszámváltozásra adott átlagos válasz, kg/ha, 4 hely figyelembe vételével</t>
      </text>
    </comment>
    <comment ref="H1" authorId="5" shapeId="0" xr:uid="{003B8A88-87E5-418A-A8FE-30D64D614BA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Jobbra, a következő cellában megjelenő ˅ jelre kattintva jelennek meg a választható hibridek</t>
      </text>
    </comment>
    <comment ref="J1" authorId="6" shapeId="0" xr:uid="{A5B49F99-1EB5-413D-9A33-0CA86D4E824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alábbi  cellában megjelenő ˅ jelre kattintva jelennek meg a választható hibridek</t>
      </text>
    </comment>
    <comment ref="K1" authorId="7" shapeId="0" xr:uid="{2712AE1F-602F-4BDE-8050-A22F71D58759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Várható eredmény Ft/ha</t>
      </text>
    </comment>
    <comment ref="L1" authorId="8" shapeId="0" xr:uid="{F659C64B-9746-4A09-B7FE-15CFB7BDCD6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Összes költség, Ft/ha</t>
      </text>
    </comment>
    <comment ref="M1" authorId="9" shapeId="0" xr:uid="{3D6F9ABD-76C4-42DE-A27B-01E461F81841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Értékesítési ár Ft/t</t>
      </text>
    </comment>
    <comment ref="N1" authorId="10" shapeId="0" xr:uid="{129DF883-37AA-40FC-8194-4C5172B3C9D7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Bevételcsökkenés helyenkénti lépcsők szerint, Ft/ha</t>
      </text>
    </comment>
    <comment ref="A3" authorId="11" shapeId="0" xr:uid="{83036945-292E-4754-83F4-0A80B529952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1. hibrid (H3)</t>
      </text>
    </comment>
    <comment ref="B3" authorId="12" shapeId="0" xr:uid="{9AF63856-2088-4B78-83CF-C3425C9C685B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kék trendvonal kiinduló pontjának értéke</t>
      </text>
    </comment>
    <comment ref="C3" authorId="13" shapeId="0" xr:uid="{36EE6CEA-00B9-41A5-8FE0-B6A53FF61CF5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kék trendvonal végpontjának értéke</t>
      </text>
    </comment>
    <comment ref="F3" authorId="14" shapeId="0" xr:uid="{A7E5FFFF-32AC-4AE6-B212-B4D4E9F577C7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Átlagos termésveszteség a helyek feltételeinek romlásával</t>
      </text>
    </comment>
    <comment ref="H3" authorId="15" shapeId="0" xr:uid="{0CB5B2B3-8BE8-4A66-BB69-0B198608275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Ide kattintva kiválaszthatod az 1.-es számú egyenessel jellemzett hibridet</t>
      </text>
    </comment>
    <comment ref="J3" authorId="16" shapeId="0" xr:uid="{59FCD2AF-427E-4535-9A74-441BED0A8F59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1. hibrid</t>
      </text>
    </comment>
    <comment ref="K3" authorId="17" shapeId="0" xr:uid="{9FEFF3AD-94AE-4E1A-ADD9-5C8ACEA74869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Várható eredmény Ft/ha</t>
      </text>
    </comment>
    <comment ref="L3" authorId="18" shapeId="0" xr:uid="{0B46E498-DE36-416D-9903-5E73667D6249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Összes költség, Ft/ha
</t>
      </text>
    </comment>
    <comment ref="M3" authorId="19" shapeId="0" xr:uid="{B9710E4F-187A-4142-BC74-F3BC0EBFCCFD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Értékesítési ár Ft/t
</t>
      </text>
    </comment>
    <comment ref="N3" authorId="20" shapeId="0" xr:uid="{F2C84F77-A4DE-43AF-B1E8-C275AA92930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Bevételcsökkenés helyenkénti lépcsők szerint, Ft/ha</t>
      </text>
    </comment>
    <comment ref="A15" authorId="21" shapeId="0" xr:uid="{3C9634EA-2CC7-4D81-BDFF-4681E9203E2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2. hibrid</t>
      </text>
    </comment>
    <comment ref="B15" authorId="22" shapeId="0" xr:uid="{B25E6289-85D5-40E0-9C9B-4570232E7C59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fekete trendvonal kezdőpontjához tartozó érték </t>
      </text>
    </comment>
    <comment ref="C15" authorId="23" shapeId="0" xr:uid="{198F9B98-CE8D-4715-935E-54368E640D1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fekete trendvonal végpontjának értéke</t>
      </text>
    </comment>
    <comment ref="F15" authorId="24" shapeId="0" xr:uid="{824D7216-D548-4713-A5B8-75EF9EAA6DE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második hibrid átlagos terméscsökkenése a feltételek romlásával</t>
      </text>
    </comment>
    <comment ref="H15" authorId="25" shapeId="0" xr:uid="{15259350-B992-47FA-9C2A-ABF2F6D2B28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Ide kattintva kiválaszthatod a 2. sz egyenessel jellemzett hibridet.</t>
      </text>
    </comment>
    <comment ref="J15" authorId="26" shapeId="0" xr:uid="{0856273D-1F2E-45A8-8D9F-D446F97F3079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2. hibrid</t>
      </text>
    </comment>
    <comment ref="K15" authorId="27" shapeId="0" xr:uid="{6A95DFE3-CF70-436B-87B6-68B09FF2F92C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K1-K3, a két hibrid közötti eredménykülönbség</t>
      </text>
    </comment>
    <comment ref="L15" authorId="28" shapeId="0" xr:uid="{1E7BEE9C-48B3-421C-94F3-9E575E01777C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H15</t>
      </text>
    </comment>
    <comment ref="A16" authorId="29" shapeId="0" xr:uid="{84B88BB6-90D7-4FCF-AAEC-1AB476A3E7F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Tenyészidő csoport</t>
      </text>
    </comment>
    <comment ref="M16" authorId="30" shapeId="0" xr:uid="{E8B8782F-587C-49F0-BE44-915332F790B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Tenyészidő csoport</t>
      </text>
    </comment>
    <comment ref="A17" authorId="31" shapeId="0" xr:uid="{C2C1197C-6603-4F52-90CA-A5D98223C571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Hely adata</t>
      </text>
    </comment>
    <comment ref="M17" authorId="32" shapeId="0" xr:uid="{051EC168-AC5E-48FB-8E43-47308B8C006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Hely adata</t>
      </text>
    </comment>
    <comment ref="A18" authorId="33" shapeId="0" xr:uid="{E5A57D42-9911-4F2C-860C-9EB77B50BD23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Bólyi kísérleti átlag</t>
      </text>
    </comment>
    <comment ref="B18" authorId="34" shapeId="0" xr:uid="{4E559475-7B4B-4361-B01C-1DF457E12C7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bólyi számlálás átlaga</t>
      </text>
    </comment>
    <comment ref="M18" authorId="35" shapeId="0" xr:uid="{0C8C934B-0BFD-45F2-BC9F-15E8C138A35C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Bólyi kísérleti átlag</t>
      </text>
    </comment>
    <comment ref="A19" authorId="36" shapeId="0" xr:uid="{58D080EF-D443-4894-9B29-3BDBA5629405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Zóna átlag</t>
      </text>
    </comment>
    <comment ref="M19" authorId="37" shapeId="0" xr:uid="{61138847-BDB8-4C5A-94D6-A83AF1CD70EC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Zóna átlag</t>
      </text>
    </comment>
    <comment ref="A20" authorId="38" shapeId="0" xr:uid="{A66CDDE7-6979-4698-8515-1C1849E1EA3B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Zóna átlag</t>
      </text>
    </comment>
    <comment ref="M20" authorId="39" shapeId="0" xr:uid="{8CC833F3-5F43-467E-9AFC-48DC7286D8C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Zóna átlag</t>
      </text>
    </comment>
    <comment ref="A21" authorId="40" shapeId="0" xr:uid="{E73C00E2-662D-4ED9-A09F-F1A6E755EC6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Kombinált Relatív Kockázati Mutató (KRKM, megmutatja, hogy mennyire megbízhatóan őrzi a helyezését a helyek függvényében. 1 igen stabil; 2: stabil; 3: ingadozó; 4: kockázatos; jaa: jóval átlag alatt; aa: átlag alatt; a: átlagos; af: átlag felett; jaf: jóval átlag felett</t>
      </text>
    </comment>
    <comment ref="M21" authorId="41" shapeId="0" xr:uid="{F9FB2DAD-2876-4336-B16B-9DBDFF961A5C}">
      <text>
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Kombinált Relatív Kockázati Mutató (KRKM, megmutatja, hogy mennyire megbízhatóan őrzi a helyezését a helyek függvényében. 1 igen stabil; 2: stabil; 3: ingadozó; 4: kockázatos; jaa: jóval átlag alatt; aa: átlag alatt; a: átlagos; af: átlag felett; jaf: jóval átlag felett
</t>
      </text>
    </comment>
  </commentList>
</comments>
</file>

<file path=xl/sharedStrings.xml><?xml version="1.0" encoding="utf-8"?>
<sst xmlns="http://schemas.openxmlformats.org/spreadsheetml/2006/main" count="423" uniqueCount="141">
  <si>
    <t xml:space="preserve">2. </t>
  </si>
  <si>
    <t xml:space="preserve">1. </t>
  </si>
  <si>
    <t xml:space="preserve">3. </t>
  </si>
  <si>
    <t>stabil</t>
  </si>
  <si>
    <t>enyhén emelkedő</t>
  </si>
  <si>
    <t>emelkedő</t>
  </si>
  <si>
    <t>erősen emelkedő</t>
  </si>
  <si>
    <t>meredeken emelkedő</t>
  </si>
  <si>
    <t>enyhén csökkenő</t>
  </si>
  <si>
    <t>csökkenő</t>
  </si>
  <si>
    <t>erősen csökkenő</t>
  </si>
  <si>
    <t>meredeken csökkenő</t>
  </si>
  <si>
    <t>&lt;=-1</t>
  </si>
  <si>
    <t>&gt;=1</t>
  </si>
  <si>
    <t xml:space="preserve">4. </t>
  </si>
  <si>
    <t>Használd a "Trend" ablakot!</t>
  </si>
  <si>
    <t>kis tőszám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</si>
  <si>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</si>
  <si>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</si>
  <si>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</si>
  <si>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</si>
  <si>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</si>
  <si>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</si>
  <si>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</si>
  <si>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</si>
  <si>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</si>
  <si>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</si>
  <si>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</si>
  <si>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</si>
  <si>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</si>
  <si>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</si>
  <si>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</si>
  <si>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nagy tőszám</t>
  </si>
  <si>
    <t xml:space="preserve">5. </t>
  </si>
  <si>
    <t>A diagramon szemléld meg az adatváltozás (reakció) irányát</t>
  </si>
  <si>
    <t>Hibridválasztó</t>
  </si>
  <si>
    <t>P9363</t>
  </si>
  <si>
    <t>Merida</t>
  </si>
  <si>
    <t>Korai</t>
  </si>
  <si>
    <t>vizsgálati csoport</t>
  </si>
  <si>
    <t>Szemnedvesség</t>
  </si>
  <si>
    <t>Változók</t>
  </si>
  <si>
    <t>Vizsgálati csoport</t>
  </si>
  <si>
    <t>szemnedvesség1</t>
  </si>
  <si>
    <t>szemnedvesség2</t>
  </si>
  <si>
    <t>Max</t>
  </si>
  <si>
    <t>Min</t>
  </si>
  <si>
    <t>DKC5092</t>
  </si>
  <si>
    <t>P0217</t>
  </si>
  <si>
    <t>Virágzás/nap</t>
  </si>
  <si>
    <t>Termés, t/ha</t>
  </si>
  <si>
    <t>szártörés(35)</t>
  </si>
  <si>
    <t>szártörés(85)</t>
  </si>
  <si>
    <t>virágzás dátuma1</t>
  </si>
  <si>
    <t>virágzás dátuma2</t>
  </si>
  <si>
    <t>Olvasd el a hibridre vonatkozó kiegészítő mért, számolt, megfigyelt adatokat is!</t>
  </si>
  <si>
    <t>Küldd el nekünk is a véleményedet!</t>
  </si>
  <si>
    <t>KWS Inteligens</t>
  </si>
  <si>
    <t>P9911</t>
  </si>
  <si>
    <t>Közép</t>
  </si>
  <si>
    <t>Jellemzés</t>
  </si>
  <si>
    <t>Termés</t>
  </si>
  <si>
    <t>Víz</t>
  </si>
  <si>
    <t>Nővir</t>
  </si>
  <si>
    <t>megdőlt1</t>
  </si>
  <si>
    <t>megdőlt2</t>
  </si>
  <si>
    <t>legnagyobb  hely adata</t>
  </si>
  <si>
    <t>legkisebb hely adata</t>
  </si>
  <si>
    <t xml:space="preserve">  Legördülő lista jele</t>
  </si>
  <si>
    <t>Termésreakció</t>
  </si>
  <si>
    <t>2. hibrid</t>
  </si>
  <si>
    <t>Megdőlés %</t>
  </si>
  <si>
    <t>Szártörés %</t>
  </si>
  <si>
    <t>Letört</t>
  </si>
  <si>
    <t>Megdőlt</t>
  </si>
  <si>
    <t>P9944_</t>
  </si>
  <si>
    <t>EV4142</t>
  </si>
  <si>
    <t>KWS Oltenio</t>
  </si>
  <si>
    <t>KABANERO</t>
  </si>
  <si>
    <t>DKC5092_</t>
  </si>
  <si>
    <t>RGT ALEXX</t>
  </si>
  <si>
    <t>DUELING</t>
  </si>
  <si>
    <t>Átlag_</t>
  </si>
  <si>
    <t>Átlag</t>
  </si>
  <si>
    <t>Maximum_</t>
  </si>
  <si>
    <t>Maximum</t>
  </si>
  <si>
    <t>Minimum_</t>
  </si>
  <si>
    <t>Minimum</t>
  </si>
  <si>
    <t>P9944</t>
  </si>
  <si>
    <t>INDEM1012</t>
  </si>
  <si>
    <t>SY Solandri</t>
  </si>
  <si>
    <t>P9960</t>
  </si>
  <si>
    <t>P0260</t>
  </si>
  <si>
    <t>KWS Giro</t>
  </si>
  <si>
    <t>RGT PRODUXXION</t>
  </si>
  <si>
    <t>KWS Forturio</t>
  </si>
  <si>
    <t>DKC5075</t>
  </si>
  <si>
    <t>DKC5206</t>
  </si>
  <si>
    <t>DKC4712</t>
  </si>
  <si>
    <t>P9985</t>
  </si>
  <si>
    <t>Obispo</t>
  </si>
  <si>
    <t>S4</t>
  </si>
  <si>
    <t>S2</t>
  </si>
  <si>
    <t>S3</t>
  </si>
  <si>
    <t xml:space="preserve">kg/ha változás/hely,         </t>
  </si>
  <si>
    <t>n.a.</t>
  </si>
  <si>
    <t>Össz önköltség</t>
  </si>
  <si>
    <t>értékesítési átlagár</t>
  </si>
  <si>
    <t xml:space="preserve">6. </t>
  </si>
  <si>
    <t xml:space="preserve">7. </t>
  </si>
  <si>
    <t xml:space="preserve">8. </t>
  </si>
  <si>
    <t>Kattints a "Trend" ablakra</t>
  </si>
  <si>
    <t>A Munkafüzet és a Munkalap is védett a véletlen módosítások ellen!</t>
  </si>
  <si>
    <t xml:space="preserve">9. </t>
  </si>
  <si>
    <t xml:space="preserve">10. </t>
  </si>
  <si>
    <t xml:space="preserve">11. </t>
  </si>
  <si>
    <t>Katints az L1, majd az M1 cellára és állítsd be az 1. sz. hibridre vonatkozó tervezett költségedet és a tervezett értékesítési átlagáradat, s nézd meg a várható eredményt a K1 cellában</t>
  </si>
  <si>
    <t xml:space="preserve">Kattints az L3 cellára, majd az M3-ra és a legördülő lista segítségével állítsd be a 2. sz. hibridre vonatkozó tervezett költségeidet, és a tervezett értékesítési árat. Nézd meg a várható eredményt a K3 cellában! </t>
  </si>
  <si>
    <t>Oltenio</t>
  </si>
  <si>
    <t>Értékelés</t>
  </si>
  <si>
    <t>S2; aa; átlag alatt</t>
  </si>
  <si>
    <t>S2; a; átlagos</t>
  </si>
  <si>
    <t>S3; aa; átlag alatt</t>
  </si>
  <si>
    <t>S2; af; átlag felett</t>
  </si>
  <si>
    <t>S4; jaf; jóval átlag felett</t>
  </si>
  <si>
    <t>S3; a; átlagos</t>
  </si>
  <si>
    <t>S4; a; átlagos</t>
  </si>
  <si>
    <t>S4; aa; átlag alatt</t>
  </si>
  <si>
    <t>S3; jaf; jóval átlag felett</t>
  </si>
  <si>
    <t>S3; af; átlag felett</t>
  </si>
  <si>
    <t>S4; af; átlag felett</t>
  </si>
  <si>
    <t>Ne sajnáld az időt arrra, hogy elolvasd a cellákba szúrt megjegyzéseket!</t>
  </si>
  <si>
    <t xml:space="preserve">12. </t>
  </si>
  <si>
    <t xml:space="preserve">13. </t>
  </si>
  <si>
    <t>Kattincs a ˇ-jelre, s megjelenik a teljes hibridlista, amelyből kiválaszthatod azt, amelyikre kíváncsi vagy</t>
  </si>
  <si>
    <t>Tedd ugyanezt a  H15 cellával (a közbeeső elrejtett sorokban segédfüggvények vannak) és válasz ki azt a hibridet, amellyel az előzőt szeretnéd összhasonlítani!</t>
  </si>
  <si>
    <t>Ha a "Trend" ablakban H2 cellára kattintasz, a J3 cella bal alsó sarkában megjelenik egykis, fehérhátterű ˇ jel.</t>
  </si>
  <si>
    <t>Ha megjelentek a hibridek, a grafikon érzékelteti a változást amit aztán szövegesen is olvashatsz</t>
  </si>
  <si>
    <t xml:space="preserve">A 21. sorban (A21, M21) S1 ... S4 értékek jelennek meg, további kódos, ill. szöveges értékeléssel. Ezek a hibridek stablitását és helyzetét jelző mutatók, amelyeket a termés szerinti rangsor helyenkénti szórása alapján rendeli hozzá a függvény. A konkrét értékelést a cellába szúrt megjegyzés tartalmazza. </t>
  </si>
  <si>
    <t>A műveletet tetszés szerint ismételheted.</t>
  </si>
  <si>
    <t xml:space="preserve">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</si>
</sst>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"/>
    <numFmt numFmtId="165" formatCode="0_ ;[Red]\-0\ "/>
    <numFmt numFmtId="166" formatCode="0.0"/>
    <numFmt numFmtId="167" formatCode="0;[Red]0"/>
  </numFmts>
  <fonts count="3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6"/>
      <color theme="8" tint="-0.249977111117893"/>
      <name val="Calibri"/>
      <family val="2"/>
      <charset val="238"/>
      <scheme val="minor"/>
    </font>
    <font>
      <b/>
      <u/>
      <sz val="12"/>
      <color theme="8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darkTrellis">
        <fgColor theme="6" tint="0.39994506668294322"/>
        <bgColor theme="8" tint="0.599963377788628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gradientFill degree="45">
        <stop position="0">
          <color theme="0"/>
        </stop>
        <stop position="1">
          <color theme="4"/>
        </stop>
      </gradientFill>
    </fill>
    <fill>
      <gradientFill degree="45">
        <stop position="0">
          <color theme="0"/>
        </stop>
        <stop position="1">
          <color theme="5" tint="0.59999389629810485"/>
        </stop>
      </gradientFill>
    </fill>
    <fill>
      <gradientFill>
        <stop position="0">
          <color theme="5" tint="0.40000610370189521"/>
        </stop>
        <stop position="1">
          <color theme="9" tint="0.59999389629810485"/>
        </stop>
      </gradientFill>
    </fill>
    <fill>
      <gradientFill>
        <stop position="0">
          <color theme="2"/>
        </stop>
        <stop position="0.5">
          <color theme="7" tint="0.40000610370189521"/>
        </stop>
        <stop position="1">
          <color theme="2"/>
        </stop>
      </gradientFill>
    </fill>
    <fill>
      <gradientFill>
        <stop position="0">
          <color theme="9" tint="0.40000610370189521"/>
        </stop>
        <stop position="1">
          <color rgb="FFFF0000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/>
    <xf numFmtId="2" fontId="0" fillId="0" borderId="0" xfId="0" applyNumberFormat="1"/>
    <xf numFmtId="166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Protection="1">
      <protection locked="0"/>
    </xf>
    <xf numFmtId="165" fontId="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165" fontId="15" fillId="5" borderId="2" xfId="0" applyNumberFormat="1" applyFont="1" applyFill="1" applyBorder="1" applyAlignment="1" applyProtection="1">
      <alignment horizontal="center" vertical="center"/>
      <protection locked="0"/>
    </xf>
    <xf numFmtId="2" fontId="11" fillId="9" borderId="0" xfId="0" applyNumberFormat="1" applyFont="1" applyFill="1" applyAlignment="1" applyProtection="1">
      <alignment horizontal="centerContinuous" vertical="center"/>
      <protection hidden="1"/>
    </xf>
    <xf numFmtId="0" fontId="9" fillId="7" borderId="2" xfId="0" applyFont="1" applyFill="1" applyBorder="1" applyAlignment="1" applyProtection="1">
      <alignment horizontal="right" vertical="top"/>
      <protection locked="0"/>
    </xf>
    <xf numFmtId="0" fontId="9" fillId="15" borderId="2" xfId="0" applyFont="1" applyFill="1" applyBorder="1" applyAlignment="1" applyProtection="1">
      <alignment horizontal="right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0" xfId="0" applyNumberFormat="1" applyFont="1" applyFill="1" applyAlignment="1" applyProtection="1">
      <alignment horizontal="center" vertical="center" wrapText="1"/>
      <protection hidden="1"/>
    </xf>
    <xf numFmtId="2" fontId="11" fillId="3" borderId="2" xfId="0" applyNumberFormat="1" applyFont="1" applyFill="1" applyBorder="1" applyAlignment="1" applyProtection="1">
      <alignment horizontal="center" vertical="center"/>
      <protection hidden="1"/>
    </xf>
    <xf numFmtId="2" fontId="11" fillId="17" borderId="0" xfId="0" applyNumberFormat="1" applyFont="1" applyFill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18" fillId="12" borderId="0" xfId="0" applyFont="1" applyFill="1" applyAlignment="1" applyProtection="1">
      <alignment horizontal="center" vertical="center" wrapText="1"/>
      <protection hidden="1"/>
    </xf>
    <xf numFmtId="0" fontId="18" fillId="14" borderId="0" xfId="0" applyFont="1" applyFill="1" applyAlignment="1" applyProtection="1">
      <alignment horizontal="center" vertical="center" wrapText="1"/>
      <protection hidden="1"/>
    </xf>
    <xf numFmtId="164" fontId="18" fillId="2" borderId="0" xfId="0" applyNumberFormat="1" applyFont="1" applyFill="1" applyAlignment="1" applyProtection="1">
      <alignment horizontal="center" vertical="center"/>
      <protection hidden="1"/>
    </xf>
    <xf numFmtId="0" fontId="18" fillId="11" borderId="0" xfId="0" applyFont="1" applyFill="1" applyAlignment="1" applyProtection="1">
      <alignment horizontal="center" vertic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/>
      <protection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165" fontId="5" fillId="5" borderId="2" xfId="0" applyNumberFormat="1" applyFont="1" applyFill="1" applyBorder="1" applyAlignment="1" applyProtection="1">
      <alignment horizontal="center" vertical="center"/>
      <protection hidden="1"/>
    </xf>
    <xf numFmtId="0" fontId="0" fillId="9" borderId="2" xfId="0" applyFill="1" applyBorder="1" applyProtection="1"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165" fontId="15" fillId="5" borderId="2" xfId="0" applyNumberFormat="1" applyFont="1" applyFill="1" applyBorder="1" applyAlignment="1" applyProtection="1">
      <alignment horizontal="center" vertical="center"/>
      <protection hidden="1"/>
    </xf>
    <xf numFmtId="0" fontId="10" fillId="17" borderId="0" xfId="0" applyFont="1" applyFill="1" applyProtection="1">
      <protection hidden="1"/>
    </xf>
    <xf numFmtId="2" fontId="11" fillId="9" borderId="0" xfId="0" applyNumberFormat="1" applyFont="1" applyFill="1" applyAlignment="1" applyProtection="1">
      <alignment horizontal="center" vertical="center"/>
      <protection hidden="1"/>
    </xf>
    <xf numFmtId="166" fontId="11" fillId="9" borderId="0" xfId="0" applyNumberFormat="1" applyFont="1" applyFill="1" applyAlignment="1" applyProtection="1">
      <alignment horizontal="center" vertical="center"/>
      <protection hidden="1"/>
    </xf>
    <xf numFmtId="2" fontId="19" fillId="3" borderId="0" xfId="0" applyNumberFormat="1" applyFont="1" applyFill="1" applyAlignment="1" applyProtection="1">
      <alignment horizontal="center" vertical="center"/>
      <protection hidden="1"/>
    </xf>
    <xf numFmtId="2" fontId="20" fillId="17" borderId="0" xfId="0" applyNumberFormat="1" applyFont="1" applyFill="1" applyAlignment="1" applyProtection="1">
      <alignment horizontal="left" vertical="center" wrapText="1"/>
      <protection hidden="1"/>
    </xf>
    <xf numFmtId="2" fontId="21" fillId="17" borderId="0" xfId="0" applyNumberFormat="1" applyFont="1" applyFill="1" applyAlignment="1" applyProtection="1">
      <alignment horizontal="center" vertical="center"/>
      <protection hidden="1"/>
    </xf>
    <xf numFmtId="0" fontId="5" fillId="17" borderId="0" xfId="0" applyFont="1" applyFill="1" applyAlignment="1" applyProtection="1">
      <alignment horizontal="centerContinuous" vertical="center"/>
      <protection hidden="1"/>
    </xf>
    <xf numFmtId="0" fontId="22" fillId="17" borderId="0" xfId="0" applyFont="1" applyFill="1" applyAlignment="1" applyProtection="1">
      <alignment horizontal="left" vertical="top"/>
      <protection hidden="1"/>
    </xf>
    <xf numFmtId="0" fontId="1" fillId="17" borderId="0" xfId="0" applyFont="1" applyFill="1" applyAlignment="1" applyProtection="1">
      <alignment horizontal="centerContinuous" vertical="center"/>
      <protection hidden="1"/>
    </xf>
    <xf numFmtId="0" fontId="1" fillId="17" borderId="0" xfId="0" applyFont="1" applyFill="1" applyAlignment="1" applyProtection="1">
      <alignment horizontal="left" vertical="top"/>
      <protection hidden="1"/>
    </xf>
    <xf numFmtId="166" fontId="11" fillId="17" borderId="0" xfId="0" applyNumberFormat="1" applyFont="1" applyFill="1" applyAlignment="1" applyProtection="1">
      <alignment horizontal="center" vertical="center"/>
      <protection hidden="1"/>
    </xf>
    <xf numFmtId="0" fontId="0" fillId="17" borderId="0" xfId="0" applyFill="1" applyProtection="1"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left" vertical="top"/>
      <protection hidden="1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2" fillId="8" borderId="0" xfId="0" applyFont="1" applyFill="1" applyAlignment="1" applyProtection="1">
      <alignment horizontal="center" vertical="center" wrapText="1"/>
      <protection locked="0"/>
    </xf>
    <xf numFmtId="0" fontId="18" fillId="12" borderId="0" xfId="0" applyFont="1" applyFill="1" applyAlignment="1" applyProtection="1">
      <alignment horizontal="center" vertical="center" wrapText="1"/>
      <protection locked="0"/>
    </xf>
    <xf numFmtId="0" fontId="18" fillId="14" borderId="0" xfId="0" applyFont="1" applyFill="1" applyAlignment="1" applyProtection="1">
      <alignment horizontal="center" vertical="center" wrapText="1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7" fillId="13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/>
    <xf numFmtId="0" fontId="8" fillId="0" borderId="0" xfId="0" applyFont="1"/>
    <xf numFmtId="0" fontId="0" fillId="18" borderId="1" xfId="0" applyFill="1" applyBorder="1"/>
    <xf numFmtId="166" fontId="8" fillId="18" borderId="1" xfId="0" applyNumberFormat="1" applyFont="1" applyFill="1" applyBorder="1" applyAlignment="1">
      <alignment horizontal="center" vertical="center"/>
    </xf>
    <xf numFmtId="0" fontId="0" fillId="18" borderId="0" xfId="0" applyFill="1"/>
    <xf numFmtId="2" fontId="0" fillId="18" borderId="0" xfId="0" applyNumberFormat="1" applyFill="1"/>
    <xf numFmtId="2" fontId="13" fillId="0" borderId="1" xfId="0" applyNumberFormat="1" applyFont="1" applyBorder="1"/>
    <xf numFmtId="2" fontId="0" fillId="0" borderId="1" xfId="0" applyNumberFormat="1" applyBorder="1"/>
    <xf numFmtId="2" fontId="8" fillId="0" borderId="0" xfId="0" applyNumberFormat="1" applyFont="1"/>
    <xf numFmtId="0" fontId="14" fillId="19" borderId="0" xfId="1" applyFill="1" applyAlignment="1" applyProtection="1">
      <alignment horizontal="center" vertical="center" wrapText="1"/>
      <protection hidden="1"/>
    </xf>
    <xf numFmtId="0" fontId="23" fillId="19" borderId="0" xfId="1" applyFont="1" applyFill="1" applyAlignment="1" applyProtection="1">
      <alignment horizontal="center" vertical="center" wrapText="1"/>
      <protection locked="0"/>
    </xf>
    <xf numFmtId="0" fontId="25" fillId="19" borderId="0" xfId="1" applyFont="1" applyFill="1" applyAlignment="1" applyProtection="1">
      <alignment horizontal="center" vertical="center" wrapText="1"/>
      <protection hidden="1"/>
    </xf>
    <xf numFmtId="167" fontId="14" fillId="19" borderId="0" xfId="1" applyNumberFormat="1" applyFill="1" applyAlignment="1" applyProtection="1">
      <alignment horizontal="center" vertical="center" wrapText="1"/>
      <protection hidden="1"/>
    </xf>
    <xf numFmtId="2" fontId="26" fillId="17" borderId="0" xfId="0" applyNumberFormat="1" applyFont="1" applyFill="1" applyAlignment="1" applyProtection="1">
      <alignment horizontal="center" vertical="center" wrapText="1"/>
      <protection hidden="1"/>
    </xf>
    <xf numFmtId="2" fontId="27" fillId="3" borderId="0" xfId="0" applyNumberFormat="1" applyFont="1" applyFill="1" applyAlignment="1" applyProtection="1">
      <alignment horizontal="center" vertical="center"/>
      <protection hidden="1"/>
    </xf>
    <xf numFmtId="2" fontId="26" fillId="17" borderId="0" xfId="0" applyNumberFormat="1" applyFont="1" applyFill="1" applyAlignment="1" applyProtection="1">
      <alignment horizontal="center" vertical="center"/>
      <protection hidden="1"/>
    </xf>
    <xf numFmtId="0" fontId="28" fillId="19" borderId="0" xfId="1" applyFont="1" applyFill="1" applyAlignment="1" applyProtection="1">
      <alignment horizontal="center" vertical="center" wrapText="1"/>
      <protection locked="0"/>
    </xf>
    <xf numFmtId="0" fontId="29" fillId="19" borderId="0" xfId="1" applyFont="1" applyFill="1" applyAlignment="1" applyProtection="1">
      <alignment horizontal="center" vertical="center" wrapText="1"/>
      <protection locked="0"/>
    </xf>
    <xf numFmtId="0" fontId="30" fillId="19" borderId="0" xfId="1" applyFont="1" applyFill="1" applyAlignment="1" applyProtection="1">
      <alignment horizontal="center" vertical="center" wrapText="1"/>
      <protection hidden="1"/>
    </xf>
    <xf numFmtId="0" fontId="31" fillId="19" borderId="0" xfId="1" applyFont="1" applyFill="1" applyAlignment="1" applyProtection="1">
      <alignment horizontal="center" vertical="center" wrapText="1"/>
      <protection locked="0"/>
    </xf>
    <xf numFmtId="0" fontId="9" fillId="19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top"/>
      <protection locked="0"/>
    </xf>
    <xf numFmtId="165" fontId="32" fillId="2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0" xfId="1" applyAlignment="1">
      <alignment horizontal="left" vertical="center"/>
    </xf>
    <xf numFmtId="0" fontId="10" fillId="16" borderId="0" xfId="0" applyFont="1" applyFill="1" applyAlignment="1" applyProtection="1">
      <alignment horizontal="center" vertical="center"/>
      <protection hidden="1"/>
    </xf>
    <xf numFmtId="0" fontId="10" fillId="16" borderId="0" xfId="0" applyFont="1" applyFill="1" applyProtection="1">
      <protection hidden="1"/>
    </xf>
    <xf numFmtId="0" fontId="14" fillId="16" borderId="0" xfId="1" applyFill="1" applyAlignment="1" applyProtection="1">
      <alignment horizontal="center" vertical="center"/>
      <protection hidden="1"/>
    </xf>
  </cellXfs>
  <cellStyles count="2">
    <cellStyle name="Hivatkozás" xfId="1" builtinId="8"/>
    <cellStyle name="Normál" xfId="0" builtinId="0"/>
  </cellStyles>
  <dxfs count="0"/>
  <tableStyles count="1" defaultTableStyle="TableStyleMedium2" defaultPivotStyle="PivotStyleLight16">
    <tableStyle name="Invisible" pivot="0" table="0" count="0" xr9:uid="{C99AE735-9B50-476D-88FE-76BC512B3DE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Agro-ökológiai reakció(</a:t>
            </a:r>
            <a:r>
              <a:rPr lang="hu-HU" baseline="0"/>
              <a:t>összes hely)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9326543969352E-2"/>
          <c:y val="0.1411112308816308"/>
          <c:w val="0.79789423254902392"/>
          <c:h val="0.49226641754398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Trend!$B$3:$C$3</c:f>
              <c:numCache>
                <c:formatCode>0.00</c:formatCode>
                <c:ptCount val="2"/>
                <c:pt idx="0">
                  <c:v>14.03</c:v>
                </c:pt>
                <c:pt idx="1">
                  <c:v>8.1940000000000008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5E-4C72-8164-F2A7565B53B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Trend!$B$4:$C$4</c:f>
            </c:numRef>
          </c:val>
          <c:smooth val="0"/>
          <c:extLst>
            <c:ext xmlns:c16="http://schemas.microsoft.com/office/drawing/2014/chart" uri="{C3380CC4-5D6E-409C-BE32-E72D297353CC}">
              <c16:uniqueId val="{00000000-CCB6-42D4-8B16-DBF160D22EB0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Trend!$B$5:$C$5</c:f>
            </c:numRef>
          </c:val>
          <c:smooth val="0"/>
          <c:extLst>
            <c:ext xmlns:c16="http://schemas.microsoft.com/office/drawing/2014/chart" uri="{C3380CC4-5D6E-409C-BE32-E72D297353CC}">
              <c16:uniqueId val="{00000001-CCB6-42D4-8B16-DBF160D22EB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Trend!$B$6:$C$6</c:f>
            </c:numRef>
          </c:val>
          <c:smooth val="0"/>
          <c:extLst>
            <c:ext xmlns:c16="http://schemas.microsoft.com/office/drawing/2014/chart" uri="{C3380CC4-5D6E-409C-BE32-E72D297353CC}">
              <c16:uniqueId val="{00000002-CCB6-42D4-8B16-DBF160D22EB0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Trend!$B$7:$C$7</c:f>
            </c:numRef>
          </c:val>
          <c:smooth val="0"/>
          <c:extLst>
            <c:ext xmlns:c16="http://schemas.microsoft.com/office/drawing/2014/chart" uri="{C3380CC4-5D6E-409C-BE32-E72D297353CC}">
              <c16:uniqueId val="{00000003-CCB6-42D4-8B16-DBF160D22EB0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Trend!$B$8:$C$8</c:f>
            </c:numRef>
          </c:val>
          <c:smooth val="0"/>
          <c:extLst>
            <c:ext xmlns:c16="http://schemas.microsoft.com/office/drawing/2014/chart" uri="{C3380CC4-5D6E-409C-BE32-E72D297353CC}">
              <c16:uniqueId val="{00000004-CCB6-42D4-8B16-DBF160D22EB0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Trend!$B$9:$C$9</c:f>
            </c:numRef>
          </c:val>
          <c:smooth val="0"/>
          <c:extLst>
            <c:ext xmlns:c16="http://schemas.microsoft.com/office/drawing/2014/chart" uri="{C3380CC4-5D6E-409C-BE32-E72D297353CC}">
              <c16:uniqueId val="{00000005-CCB6-42D4-8B16-DBF160D22EB0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Trend!$B$10:$C$10</c:f>
            </c:numRef>
          </c:val>
          <c:smooth val="0"/>
          <c:extLst>
            <c:ext xmlns:c16="http://schemas.microsoft.com/office/drawing/2014/chart" uri="{C3380CC4-5D6E-409C-BE32-E72D297353CC}">
              <c16:uniqueId val="{00000006-CCB6-42D4-8B16-DBF160D22EB0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Trend!$B$11:$C$11</c:f>
            </c:numRef>
          </c:val>
          <c:smooth val="0"/>
          <c:extLst>
            <c:ext xmlns:c16="http://schemas.microsoft.com/office/drawing/2014/chart" uri="{C3380CC4-5D6E-409C-BE32-E72D297353CC}">
              <c16:uniqueId val="{00000007-CCB6-42D4-8B16-DBF160D22EB0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Trend!$B$12:$C$12</c:f>
            </c:numRef>
          </c:val>
          <c:smooth val="0"/>
          <c:extLst>
            <c:ext xmlns:c16="http://schemas.microsoft.com/office/drawing/2014/chart" uri="{C3380CC4-5D6E-409C-BE32-E72D297353CC}">
              <c16:uniqueId val="{00000008-CCB6-42D4-8B16-DBF160D22EB0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Trend!$B$13:$C$13</c:f>
            </c:numRef>
          </c:val>
          <c:smooth val="0"/>
          <c:extLst>
            <c:ext xmlns:c16="http://schemas.microsoft.com/office/drawing/2014/chart" uri="{C3380CC4-5D6E-409C-BE32-E72D297353CC}">
              <c16:uniqueId val="{00000009-CCB6-42D4-8B16-DBF160D22EB0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Trend!$B$14:$C$14</c:f>
            </c:numRef>
          </c:val>
          <c:smooth val="0"/>
          <c:extLst>
            <c:ext xmlns:c16="http://schemas.microsoft.com/office/drawing/2014/chart" uri="{C3380CC4-5D6E-409C-BE32-E72D297353CC}">
              <c16:uniqueId val="{0000000A-CCB6-42D4-8B16-DBF160D22EB0}"/>
            </c:ext>
          </c:extLst>
        </c:ser>
        <c:ser>
          <c:idx val="12"/>
          <c:order val="12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Trend!$B$1:$C$1</c:f>
              <c:strCache>
                <c:ptCount val="2"/>
                <c:pt idx="0">
                  <c:v>legnagyobb  hely adata</c:v>
                </c:pt>
                <c:pt idx="1">
                  <c:v>legkisebb hely adata</c:v>
                </c:pt>
              </c:strCache>
            </c:strRef>
          </c:cat>
          <c:val>
            <c:numRef>
              <c:f>Trend!$B$15:$C$15</c:f>
              <c:numCache>
                <c:formatCode>0.00</c:formatCode>
                <c:ptCount val="2"/>
                <c:pt idx="0">
                  <c:v>15.435</c:v>
                </c:pt>
                <c:pt idx="1">
                  <c:v>8.2370000000000001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B6-42D4-8B16-DBF160D2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600351"/>
        <c:axId val="1209596191"/>
      </c:lineChart>
      <c:catAx>
        <c:axId val="1209600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b="1"/>
                  <a:t>Helyhatás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9596191"/>
        <c:crosses val="autoZero"/>
        <c:auto val="1"/>
        <c:lblAlgn val="ctr"/>
        <c:lblOffset val="100"/>
        <c:noMultiLvlLbl val="0"/>
      </c:catAx>
      <c:valAx>
        <c:axId val="1209596191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0960035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5900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4800000" scaled="0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Dia!$F$1</c:f>
              <c:strCache>
                <c:ptCount val="1"/>
                <c:pt idx="0">
                  <c:v>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Dia!$F$2:$F$3</c:f>
              <c:numCache>
                <c:formatCode>General</c:formatCode>
                <c:ptCount val="2"/>
                <c:pt idx="0">
                  <c:v>14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7-48E4-99EF-A680983095C2}"/>
            </c:ext>
          </c:extLst>
        </c:ser>
        <c:ser>
          <c:idx val="1"/>
          <c:order val="1"/>
          <c:tx>
            <c:strRef>
              <c:f>Dia!$G$1</c:f>
              <c:strCache>
                <c:ptCount val="1"/>
                <c:pt idx="0">
                  <c:v>h2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Dia!$G$2:$G$3</c:f>
              <c:numCache>
                <c:formatCode>General</c:formatCode>
                <c:ptCount val="2"/>
                <c:pt idx="0">
                  <c:v>13.5</c:v>
                </c:pt>
                <c:pt idx="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7-48E4-99EF-A680983095C2}"/>
            </c:ext>
          </c:extLst>
        </c:ser>
        <c:ser>
          <c:idx val="2"/>
          <c:order val="2"/>
          <c:tx>
            <c:strRef>
              <c:f>Dia!$H$1</c:f>
              <c:strCache>
                <c:ptCount val="1"/>
                <c:pt idx="0">
                  <c:v>h3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Dia!$H$2:$H$3</c:f>
              <c:numCache>
                <c:formatCode>General</c:formatCode>
                <c:ptCount val="2"/>
                <c:pt idx="0">
                  <c:v>13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7-48E4-99EF-A680983095C2}"/>
            </c:ext>
          </c:extLst>
        </c:ser>
        <c:ser>
          <c:idx val="3"/>
          <c:order val="3"/>
          <c:tx>
            <c:strRef>
              <c:f>Dia!$I$1</c:f>
              <c:strCache>
                <c:ptCount val="1"/>
                <c:pt idx="0">
                  <c:v>h4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Dia!$I$2:$I$3</c:f>
              <c:numCache>
                <c:formatCode>General</c:formatCode>
                <c:ptCount val="2"/>
                <c:pt idx="0">
                  <c:v>13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7-48E4-99EF-A680983095C2}"/>
            </c:ext>
          </c:extLst>
        </c:ser>
        <c:ser>
          <c:idx val="4"/>
          <c:order val="4"/>
          <c:tx>
            <c:strRef>
              <c:f>Dia!$J$1</c:f>
              <c:strCache>
                <c:ptCount val="1"/>
                <c:pt idx="0">
                  <c:v>h5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Dia!$J$2:$J$3</c:f>
              <c:numCache>
                <c:formatCode>General</c:formatCode>
                <c:ptCount val="2"/>
                <c:pt idx="0">
                  <c:v>12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7-48E4-99EF-A680983095C2}"/>
            </c:ext>
          </c:extLst>
        </c:ser>
        <c:ser>
          <c:idx val="5"/>
          <c:order val="5"/>
          <c:tx>
            <c:strRef>
              <c:f>Dia!$K$1</c:f>
              <c:strCache>
                <c:ptCount val="1"/>
                <c:pt idx="0">
                  <c:v>h6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Dia!$K$2:$K$3</c:f>
              <c:numCache>
                <c:formatCode>General</c:formatCode>
                <c:ptCount val="2"/>
                <c:pt idx="0">
                  <c:v>11.5</c:v>
                </c:pt>
                <c:pt idx="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57-48E4-99EF-A680983095C2}"/>
            </c:ext>
          </c:extLst>
        </c:ser>
        <c:ser>
          <c:idx val="6"/>
          <c:order val="6"/>
          <c:tx>
            <c:strRef>
              <c:f>Dia!$L$1</c:f>
              <c:strCache>
                <c:ptCount val="1"/>
                <c:pt idx="0">
                  <c:v>h7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Dia!$L$2:$L$3</c:f>
              <c:numCache>
                <c:formatCode>General</c:formatCode>
                <c:ptCount val="2"/>
                <c:pt idx="0">
                  <c:v>11</c:v>
                </c:pt>
                <c:pt idx="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57-48E4-99EF-A680983095C2}"/>
            </c:ext>
          </c:extLst>
        </c:ser>
        <c:ser>
          <c:idx val="7"/>
          <c:order val="7"/>
          <c:tx>
            <c:strRef>
              <c:f>Dia!$M$1</c:f>
              <c:strCache>
                <c:ptCount val="1"/>
                <c:pt idx="0">
                  <c:v>h8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Dia!$M$2:$M$3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57-48E4-99EF-A680983095C2}"/>
            </c:ext>
          </c:extLst>
        </c:ser>
        <c:ser>
          <c:idx val="8"/>
          <c:order val="8"/>
          <c:tx>
            <c:strRef>
              <c:f>Dia!$N$1</c:f>
              <c:strCache>
                <c:ptCount val="1"/>
                <c:pt idx="0">
                  <c:v>h9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Dia!$N$2:$N$3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7-48E4-99EF-A680983095C2}"/>
            </c:ext>
          </c:extLst>
        </c:ser>
        <c:ser>
          <c:idx val="9"/>
          <c:order val="9"/>
          <c:tx>
            <c:strRef>
              <c:f>Dia!$O$1</c:f>
              <c:strCache>
                <c:ptCount val="1"/>
                <c:pt idx="0">
                  <c:v>h10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Dia!$O$2:$O$3</c:f>
              <c:numCache>
                <c:formatCode>General</c:formatCode>
                <c:ptCount val="2"/>
                <c:pt idx="0">
                  <c:v>14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57-48E4-99EF-A680983095C2}"/>
            </c:ext>
          </c:extLst>
        </c:ser>
        <c:ser>
          <c:idx val="10"/>
          <c:order val="10"/>
          <c:tx>
            <c:strRef>
              <c:f>Dia!$P$1</c:f>
              <c:strCache>
                <c:ptCount val="1"/>
                <c:pt idx="0">
                  <c:v>h11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Dia!$P$2:$P$3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57-48E4-99EF-A680983095C2}"/>
            </c:ext>
          </c:extLst>
        </c:ser>
        <c:ser>
          <c:idx val="11"/>
          <c:order val="11"/>
          <c:tx>
            <c:strRef>
              <c:f>Dia!$Q$1</c:f>
              <c:strCache>
                <c:ptCount val="1"/>
                <c:pt idx="0">
                  <c:v>h12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Dia!$Q$2:$Q$3</c:f>
              <c:numCache>
                <c:formatCode>General</c:formatCode>
                <c:ptCount val="2"/>
                <c:pt idx="0">
                  <c:v>8.5</c:v>
                </c:pt>
                <c:pt idx="1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57-48E4-99EF-A680983095C2}"/>
            </c:ext>
          </c:extLst>
        </c:ser>
        <c:ser>
          <c:idx val="12"/>
          <c:order val="12"/>
          <c:tx>
            <c:strRef>
              <c:f>Dia!$R$1</c:f>
              <c:strCache>
                <c:ptCount val="1"/>
                <c:pt idx="0">
                  <c:v>h13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Dia!$R$2:$R$3</c:f>
              <c:numCache>
                <c:formatCode>General</c:formatCode>
                <c:ptCount val="2"/>
                <c:pt idx="0">
                  <c:v>8</c:v>
                </c:pt>
                <c:pt idx="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57-48E4-99EF-A680983095C2}"/>
            </c:ext>
          </c:extLst>
        </c:ser>
        <c:ser>
          <c:idx val="13"/>
          <c:order val="13"/>
          <c:tx>
            <c:strRef>
              <c:f>Dia!$S$1</c:f>
              <c:strCache>
                <c:ptCount val="1"/>
                <c:pt idx="0">
                  <c:v>h14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Dia!$S$2:$S$3</c:f>
              <c:numCache>
                <c:formatCode>General</c:formatCode>
                <c:ptCount val="2"/>
                <c:pt idx="0">
                  <c:v>7.5</c:v>
                </c:pt>
                <c:pt idx="1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57-48E4-99EF-A680983095C2}"/>
            </c:ext>
          </c:extLst>
        </c:ser>
        <c:ser>
          <c:idx val="14"/>
          <c:order val="14"/>
          <c:tx>
            <c:strRef>
              <c:f>Dia!$T$1</c:f>
              <c:strCache>
                <c:ptCount val="1"/>
                <c:pt idx="0">
                  <c:v>h15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Dia!$E$2:$E$3</c:f>
              <c:strCache>
                <c:ptCount val="2"/>
                <c:pt idx="0">
                  <c:v>kis tőszám</c:v>
                </c:pt>
                <c:pt idx="1">
                  <c:v>nagy tőszám</c:v>
                </c:pt>
              </c:strCache>
            </c:strRef>
          </c:cat>
          <c:val>
            <c:numRef>
              <c:f>Dia!$T$2:$T$3</c:f>
              <c:numCache>
                <c:formatCode>General</c:formatCode>
                <c:ptCount val="2"/>
                <c:pt idx="0">
                  <c:v>7</c:v>
                </c:pt>
                <c:pt idx="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057-48E4-99EF-A6809830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31200"/>
        <c:axId val="399033280"/>
      </c:lineChart>
      <c:catAx>
        <c:axId val="3990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9033280"/>
        <c:crosses val="autoZero"/>
        <c:auto val="1"/>
        <c:lblAlgn val="ctr"/>
        <c:lblOffset val="100"/>
        <c:noMultiLvlLbl val="0"/>
      </c:catAx>
      <c:valAx>
        <c:axId val="399033280"/>
        <c:scaling>
          <c:orientation val="minMax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90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9071</xdr:colOff>
      <xdr:row>15</xdr:row>
      <xdr:rowOff>10282</xdr:rowOff>
    </xdr:from>
    <xdr:to>
      <xdr:col>9</xdr:col>
      <xdr:colOff>586619</xdr:colOff>
      <xdr:row>24</xdr:row>
      <xdr:rowOff>6048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B4ED6-22EC-6CAC-260B-ACCC20F08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78828</xdr:colOff>
      <xdr:row>0</xdr:row>
      <xdr:rowOff>469550</xdr:rowOff>
    </xdr:from>
    <xdr:to>
      <xdr:col>9</xdr:col>
      <xdr:colOff>262759</xdr:colOff>
      <xdr:row>2</xdr:row>
      <xdr:rowOff>168165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D6AB6907-11B3-B7BC-8047-FB74BB718D16}"/>
            </a:ext>
          </a:extLst>
        </xdr:cNvPr>
        <xdr:cNvCxnSpPr/>
      </xdr:nvCxnSpPr>
      <xdr:spPr>
        <a:xfrm flipH="1">
          <a:off x="6873766" y="469550"/>
          <a:ext cx="183931" cy="1715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57807</xdr:colOff>
      <xdr:row>2</xdr:row>
      <xdr:rowOff>5255</xdr:rowOff>
    </xdr:from>
    <xdr:to>
      <xdr:col>9</xdr:col>
      <xdr:colOff>399393</xdr:colOff>
      <xdr:row>14</xdr:row>
      <xdr:rowOff>157655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6EC05977-0265-C54A-04BC-F984AE1108C9}"/>
            </a:ext>
          </a:extLst>
        </xdr:cNvPr>
        <xdr:cNvCxnSpPr/>
      </xdr:nvCxnSpPr>
      <xdr:spPr>
        <a:xfrm flipH="1">
          <a:off x="6852745" y="478221"/>
          <a:ext cx="341586" cy="38362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78828</xdr:colOff>
      <xdr:row>2</xdr:row>
      <xdr:rowOff>12350</xdr:rowOff>
    </xdr:from>
    <xdr:to>
      <xdr:col>9</xdr:col>
      <xdr:colOff>262759</xdr:colOff>
      <xdr:row>2</xdr:row>
      <xdr:rowOff>183931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C3CAC4FF-6042-EC5A-DBC0-85E153C00150}"/>
            </a:ext>
          </a:extLst>
        </xdr:cNvPr>
        <xdr:cNvCxnSpPr/>
      </xdr:nvCxnSpPr>
      <xdr:spPr>
        <a:xfrm flipH="1">
          <a:off x="6873766" y="485316"/>
          <a:ext cx="183931" cy="1715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3</xdr:row>
      <xdr:rowOff>110490</xdr:rowOff>
    </xdr:from>
    <xdr:to>
      <xdr:col>16</xdr:col>
      <xdr:colOff>7620</xdr:colOff>
      <xdr:row>21</xdr:row>
      <xdr:rowOff>114300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36B9823-CED6-B065-1D4D-B959D32F5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énes Szieberth" id="{857B674B-437D-4482-B62B-1D36EC400821}" userId="2bed2132da9f1d29" providerId="Windows Live"/>
</personList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12-21T13:01:09.87" personId="{857B674B-437D-4482-B62B-1D36EC400821}" id="{C5F97A36-1D39-4E1B-855A-08219B0DF262}">
    <text>Ebben a táblázatban a 2024-es év Top20 kísérleteinek adatai alapján tudod összehasonlítani a hibridek eredményeit.</text>
  </threadedComment>
  <threadedComment ref="B1" dT="2024-12-21T12:58:26.24" personId="{857B674B-437D-4482-B62B-1D36EC400821}" id="{76BBE336-EF36-4B10-BAA8-BD7A49FE8348}">
    <text>A legnagyobb termést adó hely adata</text>
  </threadedComment>
  <threadedComment ref="C1" dT="2024-12-21T12:59:01.66" personId="{857B674B-437D-4482-B62B-1D36EC400821}" id="{1844C92A-7DCB-4AB5-A5A5-2744726B5B87}">
    <text>A legkisebb termést adó hely adata</text>
  </threadedComment>
  <threadedComment ref="E1" dT="2022-10-16T08:56:05.93" personId="{857B674B-437D-4482-B62B-1D36EC400821}" id="{9C47C354-02D9-4D85-82EF-BB0144CEDF86}">
    <text>A változás jellege</text>
  </threadedComment>
  <threadedComment ref="F1" dT="2022-12-03T04:36:36.34" personId="{857B674B-437D-4482-B62B-1D36EC400821}" id="{009FF5DF-EDF9-4D3F-B143-8CC4DD9FDDF8}">
    <text>10000-es tőszámváltozásra adott átlagos válasz, kg/ha, 4 hely figyelembe vételével</text>
  </threadedComment>
  <threadedComment ref="H1" dT="2022-12-02T20:19:12.47" personId="{857B674B-437D-4482-B62B-1D36EC400821}" id="{003B8A88-87E5-418A-A8FE-30D64D614BA0}">
    <text>Jobbra, a következő cellában megjelenő ˅ jelre kattintva jelennek meg a választható hibridek</text>
  </threadedComment>
  <threadedComment ref="J1" dT="2022-12-02T20:18:34.98" personId="{857B674B-437D-4482-B62B-1D36EC400821}" id="{A5B49F99-1EB5-413D-9A33-0CA86D4E8244}">
    <text>Az alábbi  cellában megjelenő ˅ jelre kattintva jelennek meg a választható hibridek</text>
  </threadedComment>
  <threadedComment ref="K1" dT="2024-12-21T04:08:31.78" personId="{857B674B-437D-4482-B62B-1D36EC400821}" id="{2712AE1F-602F-4BDE-8050-A22F71D58759}">
    <text>Várható eredmény Ft/ha</text>
  </threadedComment>
  <threadedComment ref="L1" dT="2024-12-21T04:04:13.51" personId="{857B674B-437D-4482-B62B-1D36EC400821}" id="{F659C64B-9746-4A09-B7FE-15CFB7BDCD6F}">
    <text>Összes költség, Ft/ha</text>
  </threadedComment>
  <threadedComment ref="M1" dT="2024-12-21T04:05:07.70" personId="{857B674B-437D-4482-B62B-1D36EC400821}" id="{3D6F9ABD-76C4-42DE-A27B-01E461F81841}">
    <text>Értékesítési ár Ft/t</text>
  </threadedComment>
  <threadedComment ref="N1" dT="2024-12-21T04:21:42.42" personId="{857B674B-437D-4482-B62B-1D36EC400821}" id="{129DF883-37AA-40FC-8194-4C5172B3C9D7}">
    <text>Bevételcsökkenés helyenkénti lépcsők szerint, Ft/ha</text>
  </threadedComment>
  <threadedComment ref="A3" dT="2022-12-08T18:33:25.91" personId="{857B674B-437D-4482-B62B-1D36EC400821}" id="{83036945-292E-4754-83F4-0A80B5299522}">
    <text>1. hibrid (H3)</text>
  </threadedComment>
  <threadedComment ref="B3" dT="2022-12-02T08:59:55.67" personId="{857B674B-437D-4482-B62B-1D36EC400821}" id="{9AF63856-2088-4B78-83CF-C3425C9C685B}">
    <text>A kék trendvonal kiinduló pontjának értéke</text>
  </threadedComment>
  <threadedComment ref="C3" dT="2022-12-02T09:00:30.15" personId="{857B674B-437D-4482-B62B-1D36EC400821}" id="{36EE6CEA-00B9-41A5-8FE0-B6A53FF61CF5}">
    <text>A kék trendvonal végpontjának értéke</text>
  </threadedComment>
  <threadedComment ref="F3" dT="2024-12-21T03:14:41.36" personId="{857B674B-437D-4482-B62B-1D36EC400821}" id="{A7E5FFFF-32AC-4AE6-B212-B4D4E9F577C7}">
    <text>Átlagos termésveszteség a helyek feltételeinek romlásával</text>
  </threadedComment>
  <threadedComment ref="H3" dT="2024-12-21T12:03:35.57" personId="{857B674B-437D-4482-B62B-1D36EC400821}" id="{0CB5B2B3-8BE8-4A66-BB69-0B198608275F}">
    <text>Ide kattintva kiválaszthatod az 1.-es számú egyenessel jellemzett hibridet</text>
  </threadedComment>
  <threadedComment ref="J3" dT="2024-12-21T20:30:17.14" personId="{857B674B-437D-4482-B62B-1D36EC400821}" id="{59FCD2AF-427E-4535-9A74-441BED0A8F59}">
    <text>1. hibrid</text>
  </threadedComment>
  <threadedComment ref="K3" dT="2024-12-21T04:08:31.78" personId="{857B674B-437D-4482-B62B-1D36EC400821}" id="{9FEFF3AD-94AE-4E1A-ADD9-5C8ACEA74869}">
    <text>Várható eredmény Ft/ha</text>
  </threadedComment>
  <threadedComment ref="L3" dT="2024-12-21T04:15:56.19" personId="{857B674B-437D-4482-B62B-1D36EC400821}" id="{0B46E498-DE36-416D-9903-5E73667D6249}">
    <text xml:space="preserve">Összes költség, Ft/ha
</text>
  </threadedComment>
  <threadedComment ref="M3" dT="2024-12-21T04:16:25.47" personId="{857B674B-437D-4482-B62B-1D36EC400821}" id="{B9710E4F-187A-4142-BC74-F3BC0EBFCCFD}">
    <text xml:space="preserve">Értékesítési ár Ft/t
</text>
  </threadedComment>
  <threadedComment ref="N3" dT="2024-12-21T04:21:42.42" personId="{857B674B-437D-4482-B62B-1D36EC400821}" id="{F2C84F77-A4DE-43AF-B1E8-C275AA929302}">
    <text>Bevételcsökkenés helyenkénti lépcsők szerint, Ft/ha</text>
  </threadedComment>
  <threadedComment ref="A15" dT="2022-12-08T18:33:39.20" personId="{857B674B-437D-4482-B62B-1D36EC400821}" id="{3C9634EA-2CC7-4D81-BDFF-4681E9203E28}">
    <text>2. hibrid</text>
  </threadedComment>
  <threadedComment ref="B15" dT="2024-12-21T03:19:27.75" personId="{857B674B-437D-4482-B62B-1D36EC400821}" id="{B25E6289-85D5-40E0-9C9B-4570232E7C59}">
    <text xml:space="preserve">A fekete trendvonal kezdőpontjához tartozó érték </text>
  </threadedComment>
  <threadedComment ref="C15" dT="2024-12-21T03:21:00.76" personId="{857B674B-437D-4482-B62B-1D36EC400821}" id="{198F9B98-CE8D-4715-935E-54368E640D16}">
    <text>A fekete trendvonal végpontjának értéke</text>
  </threadedComment>
  <threadedComment ref="F15" dT="2024-12-21T03:17:58.29" personId="{857B674B-437D-4482-B62B-1D36EC400821}" id="{824D7216-D548-4713-A5B8-75EF9EAA6DEF}">
    <text>A második hibrid átlagos terméscsökkenése a feltételek romlásával</text>
  </threadedComment>
  <threadedComment ref="H15" dT="2024-12-21T12:06:01.50" personId="{857B674B-437D-4482-B62B-1D36EC400821}" id="{15259350-B992-47FA-9C2A-ABF2F6D2B28D}">
    <text>Ide kattintva kiválaszthatod a 2. sz egyenessel jellemzett hibridet.</text>
  </threadedComment>
  <threadedComment ref="J15" dT="2024-12-21T20:30:32.60" personId="{857B674B-437D-4482-B62B-1D36EC400821}" id="{0856273D-1F2E-45A8-8D9F-D446F97F3079}">
    <text>2. hibrid</text>
  </threadedComment>
  <threadedComment ref="K15" dT="2024-12-21T20:14:46.22" personId="{857B674B-437D-4482-B62B-1D36EC400821}" id="{6A95DFE3-CF70-436B-87B6-68B09FF2F92C}">
    <text>K1-K3, a két hibrid közötti eredménykülönbség</text>
  </threadedComment>
  <threadedComment ref="L15" dT="2024-12-21T20:28:15.04" personId="{857B674B-437D-4482-B62B-1D36EC400821}" id="{1E7BEE9C-48B3-421C-94F3-9E575E01777C}">
    <text>H15</text>
  </threadedComment>
  <threadedComment ref="A16" dT="2022-12-02T06:22:08.50" personId="{857B674B-437D-4482-B62B-1D36EC400821}" id="{84B88BB6-90D7-4FCF-AAEC-1AB476A3E7F8}">
    <text>Tenyészidő csoport</text>
  </threadedComment>
  <threadedComment ref="M16" dT="2022-12-02T06:22:08.50" personId="{857B674B-437D-4482-B62B-1D36EC400821}" id="{E8B8782F-587C-49F0-BE44-915332F790B2}">
    <text>Tenyészidő csoport</text>
  </threadedComment>
  <threadedComment ref="A17" dT="2022-12-02T06:20:48.03" personId="{857B674B-437D-4482-B62B-1D36EC400821}" id="{C2C1197C-6603-4F52-90CA-A5D98223C571}">
    <text>Hely adata</text>
  </threadedComment>
  <threadedComment ref="M17" dT="2022-12-02T06:20:48.03" personId="{857B674B-437D-4482-B62B-1D36EC400821}" id="{051EC168-AC5E-48FB-8E43-47308B8C006D}">
    <text>Hely adata</text>
  </threadedComment>
  <threadedComment ref="A18" dT="2022-12-02T06:21:42.42" personId="{857B674B-437D-4482-B62B-1D36EC400821}" id="{E5A57D42-9911-4F2C-860C-9EB77B50BD23}">
    <text>Bólyi kísérleti átlag</text>
  </threadedComment>
  <threadedComment ref="B18" dT="2024-12-21T20:26:52.11" personId="{857B674B-437D-4482-B62B-1D36EC400821}" id="{4E559475-7B4B-4361-B01C-1DF457E12C74}">
    <text>A bólyi számlálás átlaga</text>
  </threadedComment>
  <threadedComment ref="M18" dT="2022-12-02T06:21:42.42" personId="{857B674B-437D-4482-B62B-1D36EC400821}" id="{0C8C934B-0BFD-45F2-BC9F-15E8C138A35C}">
    <text>Bólyi kísérleti átlag</text>
  </threadedComment>
  <threadedComment ref="A19" dT="2022-12-02T06:19:44.50" personId="{857B674B-437D-4482-B62B-1D36EC400821}" id="{58D080EF-D443-4894-9B29-3BDBA5629405}">
    <text>Zóna átlag</text>
  </threadedComment>
  <threadedComment ref="M19" dT="2022-12-02T06:19:44.50" personId="{857B674B-437D-4482-B62B-1D36EC400821}" id="{61138847-BDB8-4C5A-94D6-A83AF1CD70EC}">
    <text>Zóna átlag</text>
  </threadedComment>
  <threadedComment ref="A20" dT="2022-12-02T06:20:06.87" personId="{857B674B-437D-4482-B62B-1D36EC400821}" id="{A66CDDE7-6979-4698-8515-1C1849E1EA3B}">
    <text>Zóna átlag</text>
  </threadedComment>
  <threadedComment ref="M20" dT="2022-12-02T06:20:06.87" personId="{857B674B-437D-4482-B62B-1D36EC400821}" id="{8CC833F3-5F43-467E-9AFC-48DC7286D8C6}">
    <text>Zóna átlag</text>
  </threadedComment>
  <threadedComment ref="A21" dT="2024-12-21T05:17:10.46" personId="{857B674B-437D-4482-B62B-1D36EC400821}" id="{E73C00E2-662D-4ED9-A09F-F1A6E755EC6F}">
    <text>Kombinált Relatív Kockázati Mutató (KRKM, megmutatja, hogy mennyire megbízhatóan őrzi a helyezését a helyek függvényében. 1 igen stabil; 2: stabil; 3: ingadozó; 4: kockázatos; jaa: jóval átlag alatt; aa: átlag alatt; a: átlagos; af: átlag felett; jaf: jóval átlag felett</text>
  </threadedComment>
  <threadedComment ref="M21" dT="2024-12-21T05:17:59.89" personId="{857B674B-437D-4482-B62B-1D36EC400821}" id="{F9FB2DAD-2876-4336-B16B-9DBDFF961A5C}">
    <text xml:space="preserve">Kombinált Relatív Kockázati Mutató (KRKM, megmutatja, hogy mennyire megbízhatóan őrzi a helyezését a helyek függvényében. 1 igen stabil; 2: stabil; 3: ingadozó; 4: kockázatos; jaa: jóval átlag alatt; aa: átlag alatt; a: átlagos; af: átlag felett; jaf: jóval átlag felett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yarkukoricaklub@m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mailto:magyarkukoricaklub@me.com" TargetMode="External"/><Relationship Id="rId1" Type="http://schemas.openxmlformats.org/officeDocument/2006/relationships/hyperlink" Target="mailto:magyarkukoricaklub@m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2BB9-61A3-4E76-9179-A63EC15ED261}">
  <sheetPr>
    <tabColor rgb="FFFF0000"/>
  </sheetPr>
  <dimension ref="A1:G24"/>
  <sheetViews>
    <sheetView topLeftCell="A9" zoomScale="177" zoomScaleNormal="177" workbookViewId="0">
      <selection activeCell="A11" sqref="A11:A16"/>
    </sheetView>
  </sheetViews>
  <sheetFormatPr defaultRowHeight="14.4" x14ac:dyDescent="0.3"/>
  <cols>
    <col min="2" max="2" width="82" style="93" customWidth="1"/>
  </cols>
  <sheetData>
    <row r="1" spans="1:2" x14ac:dyDescent="0.3">
      <c r="A1" t="s">
        <v>15</v>
      </c>
    </row>
    <row r="3" spans="1:2" x14ac:dyDescent="0.3">
      <c r="A3" s="9" t="s">
        <v>1</v>
      </c>
      <c r="B3" s="93" t="s">
        <v>136</v>
      </c>
    </row>
    <row r="4" spans="1:2" x14ac:dyDescent="0.3">
      <c r="A4" s="9" t="s">
        <v>0</v>
      </c>
      <c r="B4" s="93" t="s">
        <v>134</v>
      </c>
    </row>
    <row r="5" spans="1:2" x14ac:dyDescent="0.3">
      <c r="A5" s="9" t="s">
        <v>2</v>
      </c>
      <c r="B5" s="93" t="s">
        <v>135</v>
      </c>
    </row>
    <row r="6" spans="1:2" x14ac:dyDescent="0.3">
      <c r="A6" s="9" t="s">
        <v>14</v>
      </c>
      <c r="B6" s="93" t="s">
        <v>137</v>
      </c>
    </row>
    <row r="7" spans="1:2" x14ac:dyDescent="0.3">
      <c r="A7" s="9" t="s">
        <v>33</v>
      </c>
      <c r="B7" s="93" t="s">
        <v>34</v>
      </c>
    </row>
    <row r="8" spans="1:2" x14ac:dyDescent="0.3">
      <c r="A8" s="9" t="s">
        <v>108</v>
      </c>
      <c r="B8" s="94" t="s">
        <v>55</v>
      </c>
    </row>
    <row r="9" spans="1:2" ht="28.8" x14ac:dyDescent="0.3">
      <c r="A9" s="9" t="s">
        <v>109</v>
      </c>
      <c r="B9" s="94" t="s">
        <v>116</v>
      </c>
    </row>
    <row r="10" spans="1:2" ht="43.2" x14ac:dyDescent="0.3">
      <c r="A10" s="9" t="s">
        <v>110</v>
      </c>
      <c r="B10" s="94" t="s">
        <v>117</v>
      </c>
    </row>
    <row r="11" spans="1:2" ht="57.6" x14ac:dyDescent="0.3">
      <c r="A11" s="9" t="s">
        <v>113</v>
      </c>
      <c r="B11" s="94" t="s">
        <v>138</v>
      </c>
    </row>
    <row r="12" spans="1:2" x14ac:dyDescent="0.3">
      <c r="A12" s="9" t="s">
        <v>114</v>
      </c>
      <c r="B12" s="94" t="s">
        <v>139</v>
      </c>
    </row>
    <row r="13" spans="1:2" x14ac:dyDescent="0.3">
      <c r="A13" s="9" t="s">
        <v>115</v>
      </c>
      <c r="B13" s="94" t="s">
        <v>112</v>
      </c>
    </row>
    <row r="14" spans="1:2" x14ac:dyDescent="0.3">
      <c r="A14" s="9" t="s">
        <v>132</v>
      </c>
      <c r="B14" s="94" t="s">
        <v>111</v>
      </c>
    </row>
    <row r="15" spans="1:2" x14ac:dyDescent="0.3">
      <c r="A15" s="9" t="s">
        <v>133</v>
      </c>
      <c r="B15" s="94" t="s">
        <v>131</v>
      </c>
    </row>
    <row r="16" spans="1:2" x14ac:dyDescent="0.3">
      <c r="A16" s="9" t="s">
        <v>140</v>
      </c>
      <c r="B16" s="95" t="s">
        <v>56</v>
      </c>
    </row>
    <row r="17" spans="1:7" x14ac:dyDescent="0.3">
      <c r="A17" s="5"/>
    </row>
    <row r="18" spans="1:7" x14ac:dyDescent="0.3">
      <c r="A18" s="5"/>
    </row>
    <row r="19" spans="1:7" x14ac:dyDescent="0.3">
      <c r="A19" s="5"/>
    </row>
    <row r="20" spans="1:7" x14ac:dyDescent="0.3">
      <c r="A20" s="5"/>
    </row>
    <row r="24" spans="1:7" x14ac:dyDescent="0.3">
      <c r="G24">
        <f>H24</f>
        <v>0</v>
      </c>
    </row>
  </sheetData>
  <phoneticPr fontId="4" type="noConversion"/>
  <hyperlinks>
    <hyperlink ref="B16" r:id="rId1" xr:uid="{6B3B8A99-5711-41F5-B26E-5EA2B1BFFF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FA33-53D7-46E5-9D07-85A7D3D24B69}">
  <sheetPr>
    <tabColor rgb="FF00B050"/>
  </sheetPr>
  <dimension ref="A1:O23"/>
  <sheetViews>
    <sheetView showGridLines="0" tabSelected="1" zoomScale="145" zoomScaleNormal="145" workbookViewId="0">
      <pane xSplit="6" ySplit="17" topLeftCell="G18" activePane="bottomRight" state="frozen"/>
      <selection pane="topRight" activeCell="G1" sqref="G1"/>
      <selection pane="bottomLeft" activeCell="A18" sqref="A18"/>
      <selection pane="bottomRight" activeCell="K1" sqref="K1"/>
    </sheetView>
  </sheetViews>
  <sheetFormatPr defaultColWidth="8.88671875" defaultRowHeight="14.4" x14ac:dyDescent="0.3"/>
  <cols>
    <col min="1" max="1" width="19.109375" style="2" bestFit="1" customWidth="1"/>
    <col min="2" max="2" width="9.77734375" style="2" customWidth="1"/>
    <col min="3" max="3" width="9.88671875" style="2" customWidth="1"/>
    <col min="4" max="4" width="30.33203125" style="2" hidden="1" customWidth="1"/>
    <col min="5" max="5" width="21.44140625" style="2" customWidth="1"/>
    <col min="6" max="6" width="14" style="2" customWidth="1"/>
    <col min="7" max="7" width="1" style="2" hidden="1" customWidth="1"/>
    <col min="8" max="8" width="14.88671875" style="2" customWidth="1"/>
    <col min="9" max="9" width="20.109375" style="2" hidden="1" customWidth="1"/>
    <col min="10" max="10" width="8.44140625" style="2" customWidth="1"/>
    <col min="11" max="11" width="13.6640625" style="2" customWidth="1"/>
    <col min="12" max="12" width="8.88671875" style="2" customWidth="1"/>
    <col min="13" max="13" width="12" style="2" customWidth="1"/>
    <col min="14" max="14" width="9.6640625" style="2" customWidth="1"/>
    <col min="15" max="16384" width="8.88671875" style="2"/>
  </cols>
  <sheetData>
    <row r="1" spans="1:15" ht="37.200000000000003" customHeight="1" thickBot="1" x14ac:dyDescent="0.35">
      <c r="A1" s="31" t="s">
        <v>41</v>
      </c>
      <c r="B1" s="32" t="s">
        <v>66</v>
      </c>
      <c r="C1" s="33" t="s">
        <v>67</v>
      </c>
      <c r="D1" s="34"/>
      <c r="E1" s="28" t="s">
        <v>69</v>
      </c>
      <c r="F1" s="35" t="s">
        <v>104</v>
      </c>
      <c r="G1" s="35"/>
      <c r="H1" s="36" t="s">
        <v>35</v>
      </c>
      <c r="I1" s="36"/>
      <c r="J1" s="57" t="s">
        <v>68</v>
      </c>
      <c r="K1" s="88">
        <f>M1*B3-L1</f>
        <v>23440</v>
      </c>
      <c r="L1" s="89">
        <v>650000</v>
      </c>
      <c r="M1" s="89">
        <v>48000</v>
      </c>
      <c r="N1" s="82">
        <f>K1/16*-1</f>
        <v>-1465</v>
      </c>
      <c r="O1" s="68"/>
    </row>
    <row r="2" spans="1:15" ht="37.200000000000003" hidden="1" customHeight="1" thickBot="1" x14ac:dyDescent="0.35">
      <c r="A2" s="60"/>
      <c r="B2" s="61"/>
      <c r="C2" s="62"/>
      <c r="D2" s="63"/>
      <c r="E2" s="64"/>
      <c r="F2" s="65"/>
      <c r="G2" s="65"/>
      <c r="H2" s="66"/>
      <c r="I2" s="66"/>
      <c r="J2" s="67"/>
      <c r="K2" s="80"/>
      <c r="L2" s="86"/>
      <c r="M2" s="87"/>
      <c r="N2" s="79"/>
      <c r="O2" s="68"/>
    </row>
    <row r="3" spans="1:15" s="14" customFormat="1" ht="21.6" thickBot="1" x14ac:dyDescent="0.35">
      <c r="A3" s="37" t="s">
        <v>50</v>
      </c>
      <c r="B3" s="29">
        <f>VLOOKUP($H$3,Munka1!$A$2:$C$30,2,0)</f>
        <v>14.03</v>
      </c>
      <c r="C3" s="29">
        <f>VLOOKUP(H3,Munka1!$A$2:$C$30,3,0)</f>
        <v>8.1940000000000008</v>
      </c>
      <c r="D3" s="38">
        <f>(C3-B3)/16</f>
        <v>-0.36474999999999991</v>
      </c>
      <c r="E3" s="27" t="str">
        <f>IF(F3&lt;-750,"igen erősen csökkenő",IF(F3&lt;-500,"erősen csökkenő",IF(F3&lt;-300,"csökkenő",IF(F3&lt;-100,"kissé csökkenő",IF(F3&lt;100,"stabil",IF(F3&lt;300,"kissé emelkedő",IF(F3&lt;500,"emelkedő",IF(F3&lt;750,"erősen emelkedő","nagyon erősen emelkedő"))))))))</f>
        <v>csökkenő</v>
      </c>
      <c r="F3" s="39">
        <f>(C3-B3)/16*1000</f>
        <v>-364.74999999999989</v>
      </c>
      <c r="G3" s="20"/>
      <c r="H3" s="59" t="s">
        <v>76</v>
      </c>
      <c r="I3" s="59"/>
      <c r="J3" s="25">
        <v>1</v>
      </c>
      <c r="K3" s="81">
        <f>M3*B15-L3</f>
        <v>326100</v>
      </c>
      <c r="L3" s="90">
        <v>600000</v>
      </c>
      <c r="M3" s="90">
        <v>60000</v>
      </c>
      <c r="N3" s="82">
        <f>K3/15*-1</f>
        <v>-21740</v>
      </c>
      <c r="O3" s="68"/>
    </row>
    <row r="4" spans="1:15" ht="24" hidden="1" customHeight="1" thickBot="1" x14ac:dyDescent="0.35">
      <c r="A4" s="40"/>
      <c r="B4" s="29">
        <f>VLOOKUP($H$3,Munka1!$A$2:$C$30,2,0)</f>
        <v>14.03</v>
      </c>
      <c r="C4" s="29" t="e">
        <f>VLOOKUP(H5,Munka1!$A$2:$C$30,3,0)</f>
        <v>#N/A</v>
      </c>
      <c r="D4" s="41"/>
      <c r="E4" s="27" t="e">
        <f t="shared" ref="E4:E14" si="0">IF(F4&lt;-750,"erősen csökkenő",IF(F4&lt;-500,"csökkenő",IF(F4&lt;-300,"kissé csökkenőˇ",IF(F4&lt;100,"stabil",IF(F4&lt;300,"kissé emelkedő",IF(F4&lt;500,"emelkedő",IF(F4&lt;750,"erősen emelkedő","nagyon erősen emelkedő")))))))</f>
        <v>#N/A</v>
      </c>
      <c r="F4" s="39" t="e">
        <f t="shared" ref="F4:F14" si="1">(C4-B4)/3*1000</f>
        <v>#N/A</v>
      </c>
      <c r="G4" s="20"/>
      <c r="H4" s="21"/>
      <c r="I4" s="21"/>
      <c r="J4" s="21"/>
      <c r="K4" s="58"/>
      <c r="L4" s="91"/>
      <c r="M4" s="91"/>
      <c r="N4" s="91"/>
      <c r="O4" s="68"/>
    </row>
    <row r="5" spans="1:15" ht="24" hidden="1" customHeight="1" thickBot="1" x14ac:dyDescent="0.5">
      <c r="A5" s="40"/>
      <c r="B5" s="29">
        <f>VLOOKUP($H$3,Munka1!$A$2:$C$30,2,0)</f>
        <v>14.03</v>
      </c>
      <c r="C5" s="29" t="e">
        <f>VLOOKUP(H6,Munka1!$A$2:$C$30,3,0)</f>
        <v>#N/A</v>
      </c>
      <c r="D5" s="42" t="s">
        <v>7</v>
      </c>
      <c r="E5" s="27" t="e">
        <f t="shared" si="0"/>
        <v>#N/A</v>
      </c>
      <c r="F5" s="39" t="e">
        <f t="shared" si="1"/>
        <v>#N/A</v>
      </c>
      <c r="G5" s="20"/>
      <c r="H5" s="21"/>
      <c r="I5" s="21"/>
      <c r="J5" s="21"/>
      <c r="K5" s="58"/>
      <c r="L5" s="91"/>
      <c r="M5" s="91"/>
      <c r="N5" s="91"/>
      <c r="O5" s="68"/>
    </row>
    <row r="6" spans="1:15" ht="24" hidden="1" customHeight="1" thickBot="1" x14ac:dyDescent="0.5">
      <c r="A6" s="40"/>
      <c r="B6" s="29">
        <f>VLOOKUP($H$3,Munka1!$A$2:$C$30,2,0)</f>
        <v>14.03</v>
      </c>
      <c r="C6" s="29" t="e">
        <f>VLOOKUP(H7,Munka1!$A$2:$C$30,3,0)</f>
        <v>#N/A</v>
      </c>
      <c r="D6" s="42" t="s">
        <v>6</v>
      </c>
      <c r="E6" s="27" t="e">
        <f t="shared" si="0"/>
        <v>#N/A</v>
      </c>
      <c r="F6" s="39" t="e">
        <f t="shared" si="1"/>
        <v>#N/A</v>
      </c>
      <c r="G6" s="20"/>
      <c r="H6" s="21">
        <v>10</v>
      </c>
      <c r="I6" s="21"/>
      <c r="J6" s="22" t="e">
        <f>(H6-F6)/5</f>
        <v>#N/A</v>
      </c>
      <c r="K6" s="58"/>
      <c r="L6" s="91"/>
      <c r="M6" s="91"/>
      <c r="N6" s="91"/>
      <c r="O6" s="68"/>
    </row>
    <row r="7" spans="1:15" ht="24" hidden="1" customHeight="1" thickBot="1" x14ac:dyDescent="0.5">
      <c r="A7" s="40"/>
      <c r="B7" s="29">
        <f>VLOOKUP($H$3,Munka1!$A$2:$C$30,2,0)</f>
        <v>14.03</v>
      </c>
      <c r="C7" s="29" t="e">
        <f>VLOOKUP(H8,Munka1!$A$2:$C$30,3,0)</f>
        <v>#N/A</v>
      </c>
      <c r="D7" s="42" t="s">
        <v>5</v>
      </c>
      <c r="E7" s="27" t="e">
        <f t="shared" si="0"/>
        <v>#N/A</v>
      </c>
      <c r="F7" s="39" t="e">
        <f t="shared" si="1"/>
        <v>#N/A</v>
      </c>
      <c r="G7" s="20"/>
      <c r="H7" s="21"/>
      <c r="I7" s="21"/>
      <c r="J7" s="21"/>
      <c r="K7" s="58"/>
      <c r="L7" s="91"/>
      <c r="M7" s="91"/>
      <c r="N7" s="91"/>
      <c r="O7" s="68"/>
    </row>
    <row r="8" spans="1:15" ht="24" hidden="1" customHeight="1" thickBot="1" x14ac:dyDescent="0.5">
      <c r="A8" s="40"/>
      <c r="B8" s="29">
        <f>VLOOKUP($H$3,Munka1!$A$2:$C$30,2,0)</f>
        <v>14.03</v>
      </c>
      <c r="C8" s="29" t="e">
        <f>VLOOKUP(H9,Munka1!$A$2:$C$30,3,0)</f>
        <v>#N/A</v>
      </c>
      <c r="D8" s="42" t="s">
        <v>4</v>
      </c>
      <c r="E8" s="27" t="e">
        <f t="shared" si="0"/>
        <v>#N/A</v>
      </c>
      <c r="F8" s="39" t="e">
        <f t="shared" si="1"/>
        <v>#N/A</v>
      </c>
      <c r="G8" s="20"/>
      <c r="H8" s="21"/>
      <c r="I8" s="21"/>
      <c r="J8" s="21"/>
      <c r="K8" s="58"/>
      <c r="L8" s="91"/>
      <c r="M8" s="91"/>
      <c r="N8" s="91"/>
      <c r="O8" s="68"/>
    </row>
    <row r="9" spans="1:15" ht="24" hidden="1" customHeight="1" thickBot="1" x14ac:dyDescent="0.5">
      <c r="A9" s="40"/>
      <c r="B9" s="29">
        <f>VLOOKUP($H$3,Munka1!$A$2:$C$30,2,0)</f>
        <v>14.03</v>
      </c>
      <c r="C9" s="29" t="e">
        <f>VLOOKUP(H10,Munka1!$A$2:$C$30,3,0)</f>
        <v>#N/A</v>
      </c>
      <c r="D9" s="42" t="s">
        <v>3</v>
      </c>
      <c r="E9" s="27" t="e">
        <f t="shared" si="0"/>
        <v>#N/A</v>
      </c>
      <c r="F9" s="39" t="e">
        <f t="shared" si="1"/>
        <v>#N/A</v>
      </c>
      <c r="G9" s="20"/>
      <c r="H9" s="21"/>
      <c r="I9" s="21"/>
      <c r="J9" s="21"/>
      <c r="K9" s="58"/>
      <c r="L9" s="91"/>
      <c r="M9" s="91"/>
      <c r="N9" s="91"/>
      <c r="O9" s="68"/>
    </row>
    <row r="10" spans="1:15" ht="24" hidden="1" customHeight="1" thickBot="1" x14ac:dyDescent="0.5">
      <c r="A10" s="40"/>
      <c r="B10" s="29">
        <f>VLOOKUP($H$3,Munka1!$A$2:$C$30,2,0)</f>
        <v>14.03</v>
      </c>
      <c r="C10" s="29" t="e">
        <f>VLOOKUP(H11,Munka1!$A$2:$C$30,3,0)</f>
        <v>#N/A</v>
      </c>
      <c r="D10" s="42" t="s">
        <v>8</v>
      </c>
      <c r="E10" s="27" t="e">
        <f t="shared" si="0"/>
        <v>#N/A</v>
      </c>
      <c r="F10" s="39" t="e">
        <f t="shared" si="1"/>
        <v>#N/A</v>
      </c>
      <c r="G10" s="20"/>
      <c r="H10" s="21"/>
      <c r="I10" s="21"/>
      <c r="J10" s="21"/>
      <c r="K10" s="58"/>
      <c r="L10" s="91"/>
      <c r="M10" s="91"/>
      <c r="N10" s="91"/>
      <c r="O10" s="68"/>
    </row>
    <row r="11" spans="1:15" ht="24" hidden="1" customHeight="1" thickBot="1" x14ac:dyDescent="0.5">
      <c r="A11" s="40"/>
      <c r="B11" s="29">
        <f>VLOOKUP($H$3,Munka1!$A$2:$C$30,2,0)</f>
        <v>14.03</v>
      </c>
      <c r="C11" s="29" t="e">
        <f>VLOOKUP(H12,Munka1!$A$2:$C$30,3,0)</f>
        <v>#N/A</v>
      </c>
      <c r="D11" s="42" t="s">
        <v>9</v>
      </c>
      <c r="E11" s="27" t="e">
        <f t="shared" si="0"/>
        <v>#N/A</v>
      </c>
      <c r="F11" s="39" t="e">
        <f t="shared" si="1"/>
        <v>#N/A</v>
      </c>
      <c r="G11" s="20"/>
      <c r="H11" s="21"/>
      <c r="I11" s="21"/>
      <c r="J11" s="21"/>
      <c r="K11" s="58"/>
      <c r="L11" s="91"/>
      <c r="M11" s="91"/>
      <c r="N11" s="91"/>
      <c r="O11" s="68"/>
    </row>
    <row r="12" spans="1:15" ht="24" hidden="1" customHeight="1" thickBot="1" x14ac:dyDescent="0.5">
      <c r="A12" s="40"/>
      <c r="B12" s="29">
        <f>VLOOKUP($H$3,Munka1!$A$2:$C$30,2,0)</f>
        <v>14.03</v>
      </c>
      <c r="C12" s="29" t="e">
        <f>VLOOKUP(H13,Munka1!$A$2:$C$30,3,0)</f>
        <v>#N/A</v>
      </c>
      <c r="D12" s="42" t="s">
        <v>10</v>
      </c>
      <c r="E12" s="27" t="e">
        <f t="shared" si="0"/>
        <v>#N/A</v>
      </c>
      <c r="F12" s="39" t="e">
        <f t="shared" si="1"/>
        <v>#N/A</v>
      </c>
      <c r="G12" s="20"/>
      <c r="H12" s="21"/>
      <c r="I12" s="21"/>
      <c r="J12" s="21"/>
      <c r="K12" s="58"/>
      <c r="L12" s="91"/>
      <c r="M12" s="91"/>
      <c r="N12" s="91"/>
      <c r="O12" s="68"/>
    </row>
    <row r="13" spans="1:15" ht="23.4" hidden="1" customHeight="1" x14ac:dyDescent="0.45">
      <c r="A13" s="40"/>
      <c r="B13" s="29">
        <f>VLOOKUP($H$3,Munka1!$A$2:$C$30,2,0)</f>
        <v>14.03</v>
      </c>
      <c r="C13" s="29" t="e">
        <f>VLOOKUP(H14,Munka1!$A$2:$C$30,3,0)</f>
        <v>#N/A</v>
      </c>
      <c r="D13" s="42" t="s">
        <v>11</v>
      </c>
      <c r="E13" s="27" t="e">
        <f t="shared" si="0"/>
        <v>#N/A</v>
      </c>
      <c r="F13" s="39" t="e">
        <f t="shared" si="1"/>
        <v>#N/A</v>
      </c>
      <c r="G13" s="20"/>
      <c r="H13" s="21"/>
      <c r="I13" s="21"/>
      <c r="J13" s="21"/>
      <c r="K13" s="58"/>
      <c r="L13" s="91"/>
      <c r="M13" s="91"/>
      <c r="N13" s="91"/>
      <c r="O13" s="68"/>
    </row>
    <row r="14" spans="1:15" ht="18.600000000000001" hidden="1" customHeight="1" thickBot="1" x14ac:dyDescent="0.35">
      <c r="A14" s="40"/>
      <c r="B14" s="29">
        <f>VLOOKUP($H$3,Munka1!$A$2:$C$30,2,0)</f>
        <v>14.03</v>
      </c>
      <c r="C14" s="29">
        <f>VLOOKUP(H15,Munka1!$A$2:$C$30,3,0)</f>
        <v>8.2370000000000001</v>
      </c>
      <c r="D14" s="43"/>
      <c r="E14" s="27" t="str">
        <f t="shared" si="0"/>
        <v>erősen csökkenő</v>
      </c>
      <c r="F14" s="39">
        <f t="shared" si="1"/>
        <v>-1930.9999999999998</v>
      </c>
      <c r="G14" s="20"/>
      <c r="H14" s="21"/>
      <c r="I14" s="21"/>
      <c r="J14" s="21"/>
      <c r="K14" s="58"/>
      <c r="L14" s="91"/>
      <c r="M14" s="91"/>
      <c r="N14" s="91"/>
      <c r="O14" s="68"/>
    </row>
    <row r="15" spans="1:15" ht="21.6" thickBot="1" x14ac:dyDescent="0.35">
      <c r="A15" s="37" t="s">
        <v>50</v>
      </c>
      <c r="B15" s="29">
        <f>VLOOKUP($H$15,Munka1!$A$2:$C$30,2,0)</f>
        <v>15.435</v>
      </c>
      <c r="C15" s="29">
        <f>VLOOKUP(H15,Munka1!$A$2:$C$30,3,0)</f>
        <v>8.2370000000000001</v>
      </c>
      <c r="D15" s="43"/>
      <c r="E15" s="27" t="str">
        <f>IF(F15&lt;-750,"igen erősen csökkenő",IF(F15&lt;-500,"erősen csökkenő",IF(F15&lt;-300,"csökkenő",IF(F15&lt;-100,"kissé csökkenő",(IF(F15&lt;100,"stabil",IF(F15&lt;300,"kissé emelkedő",IF(F15&lt;500,"emelkedő",IF(F15&lt;750,"erősen emelkedő",IF(F15&gt;700,"nagyon erősen emelkedő",""))))))))))</f>
        <v>csökkenő</v>
      </c>
      <c r="F15" s="44">
        <f>(C15-B15)/16*1000</f>
        <v>-449.875</v>
      </c>
      <c r="G15" s="23"/>
      <c r="H15" s="69" t="s">
        <v>36</v>
      </c>
      <c r="I15" s="69"/>
      <c r="J15" s="26">
        <v>2</v>
      </c>
      <c r="K15" s="92">
        <f>K1-K3</f>
        <v>-302660</v>
      </c>
      <c r="L15" s="51" t="s">
        <v>70</v>
      </c>
      <c r="M15" s="52"/>
      <c r="N15" s="52"/>
      <c r="O15" s="68"/>
    </row>
    <row r="16" spans="1:15" ht="18" x14ac:dyDescent="0.3">
      <c r="A16" s="45" t="s">
        <v>42</v>
      </c>
      <c r="B16" s="24" t="str">
        <f>VLOOKUP($H$3,Munka1!$A$2:$F$30,4,0)</f>
        <v>Korai</v>
      </c>
      <c r="C16" s="24"/>
      <c r="K16" s="51" t="str">
        <f>VLOOKUP(H15,Munka1!$A$1:$AI$30,4,0)</f>
        <v>Korai</v>
      </c>
      <c r="L16" s="53"/>
      <c r="M16" s="45" t="s">
        <v>42</v>
      </c>
      <c r="N16" s="54"/>
      <c r="O16" s="68"/>
    </row>
    <row r="17" spans="1:15" ht="18" x14ac:dyDescent="0.3">
      <c r="A17" s="45" t="s">
        <v>40</v>
      </c>
      <c r="B17" s="46">
        <f>VLOOKUP($H$3,Munka1!$A$2:$F$30,5,0)</f>
        <v>15.375</v>
      </c>
      <c r="C17" s="46">
        <f>VLOOKUP($H$3,Munka1!$A$2:$L$30,6,0)</f>
        <v>13.7</v>
      </c>
      <c r="K17" s="30">
        <f>VLOOKUP($H15,Munka1!$A$2:$F$30,5,0)</f>
        <v>15.349999999999998</v>
      </c>
      <c r="L17" s="30">
        <f>VLOOKUP($H15,Munka1!$A$2:$F$30,6,0)</f>
        <v>12.45</v>
      </c>
      <c r="M17" s="45" t="s">
        <v>40</v>
      </c>
      <c r="N17" s="54"/>
      <c r="O17" s="68"/>
    </row>
    <row r="18" spans="1:15" ht="18" x14ac:dyDescent="0.3">
      <c r="A18" s="45" t="s">
        <v>49</v>
      </c>
      <c r="B18" s="47">
        <f>VLOOKUP($H$3,Munka1!$A$2:$K$61,7,0)</f>
        <v>57.75</v>
      </c>
      <c r="C18" s="47" t="str">
        <f>VLOOKUP($H$3,Munka1!$A$2:$L$61,8,0)</f>
        <v>n.a.</v>
      </c>
      <c r="K18" s="55">
        <f>VLOOKUP($H$15,Munka1!$A$2:$K$61,7,0)</f>
        <v>59.65</v>
      </c>
      <c r="L18" s="55" t="str">
        <f>VLOOKUP($H$15,Munka1!$A$2:$L$61,8,0)</f>
        <v>n.a.</v>
      </c>
      <c r="M18" s="45" t="s">
        <v>49</v>
      </c>
      <c r="N18" s="54"/>
      <c r="O18" s="68"/>
    </row>
    <row r="19" spans="1:15" ht="18" x14ac:dyDescent="0.3">
      <c r="A19" s="45" t="s">
        <v>71</v>
      </c>
      <c r="B19" s="46">
        <f>VLOOKUP($H$3,Munka1!$A$2:$K$61,11,0)</f>
        <v>0.55555555555555558</v>
      </c>
      <c r="C19" s="46">
        <f>VLOOKUP($H$3,Munka1!$A$2:$L$61,12,0)</f>
        <v>0</v>
      </c>
      <c r="K19" s="30">
        <f>VLOOKUP($H$15,Munka1!$A$2:$K$61,11,0)</f>
        <v>0</v>
      </c>
      <c r="L19" s="30">
        <f>VLOOKUP($H$15,Munka1!$A$2:$L$61,12,0)</f>
        <v>0.78125</v>
      </c>
      <c r="M19" s="45" t="s">
        <v>71</v>
      </c>
      <c r="N19" s="54"/>
      <c r="O19" s="68"/>
    </row>
    <row r="20" spans="1:15" ht="18" x14ac:dyDescent="0.3">
      <c r="A20" s="45" t="s">
        <v>72</v>
      </c>
      <c r="B20" s="46">
        <f>VLOOKUP($H$3,Munka1!$A$2:$K$61,9,0)</f>
        <v>0</v>
      </c>
      <c r="C20" s="46">
        <f>VLOOKUP($H$3,Munka1!$A$2:$L$61,10,0)</f>
        <v>0.26881720430107531</v>
      </c>
      <c r="K20" s="30">
        <f>VLOOKUP($H$15,Munka1!$A$2:$K$61,9,0)</f>
        <v>0.26881720430107531</v>
      </c>
      <c r="L20" s="30">
        <f>VLOOKUP($H$15,Munka1!$A$2:$L$61,10,0)</f>
        <v>0.54951690821256038</v>
      </c>
      <c r="M20" s="45" t="s">
        <v>72</v>
      </c>
      <c r="N20" s="56"/>
    </row>
    <row r="21" spans="1:15" s="19" customFormat="1" ht="15.6" x14ac:dyDescent="0.3">
      <c r="A21" s="83" t="str">
        <f>VLOOKUP(H3,Munka1!$AJ$2:$AK$30,2,0)</f>
        <v>S2; aa; átlag alatt</v>
      </c>
      <c r="B21" s="84" t="str">
        <f>IF(B3&lt;10,"Lent",IF(B3&lt;12,"Lent-középen",IF(B3&lt;14,"Fent-középen",IF(B3&gt;14,"Fent",""))))</f>
        <v>Fent</v>
      </c>
      <c r="C21" s="48" t="str">
        <f>IF(C3&lt;12,"Lent",IF(C3&lt;14,"Középen",IF(C3&lt;17,"Fent")))</f>
        <v>Lent</v>
      </c>
      <c r="K21" s="84" t="str">
        <f>IF(B15&lt;10,"Lent",IF(B15&lt;12,"Lent-középen",IF(B15&lt;14,"Fent-középen",IF(B15&gt;14,"Fent",""))))</f>
        <v>Fent</v>
      </c>
      <c r="L21" s="48" t="str">
        <f>IF(C15&lt;10,"Lent",IF(C15&lt;12,"Lent-középen",IF(C15&lt;14,"Fent-középen",IF(C15&gt;14,"Fent",""))))</f>
        <v>Lent</v>
      </c>
      <c r="M21" s="85" t="str">
        <f>VLOOKUP(H15,Munka1!AJ2:AK30,2,0)</f>
        <v>S2; a; átlagos</v>
      </c>
      <c r="N21" s="56"/>
    </row>
    <row r="22" spans="1:15" ht="18" x14ac:dyDescent="0.3">
      <c r="A22" s="49"/>
      <c r="B22" s="50"/>
      <c r="C22" s="50"/>
      <c r="K22" s="56"/>
      <c r="L22" s="56"/>
      <c r="M22" s="56"/>
      <c r="N22" s="56"/>
    </row>
    <row r="23" spans="1:15" ht="25.2" customHeight="1" x14ac:dyDescent="0.3">
      <c r="A23" s="98" t="s">
        <v>56</v>
      </c>
      <c r="B23" s="98"/>
      <c r="C23" s="98"/>
      <c r="K23" s="96" t="s">
        <v>56</v>
      </c>
      <c r="L23" s="97"/>
      <c r="M23" s="97"/>
      <c r="N23" s="97"/>
    </row>
  </sheetData>
  <sheetProtection algorithmName="SHA-512" hashValue="77rbxlPfrjllGCauHM/034VDLLhxFEQk/WZNEYRc1C/HvumRaYRJ9xJDrWDAXVuh2aiKZlzihevsrOD/LPFZiA==" saltValue="zCZpSpD11idpoE9cFwGkhA==" spinCount="100000" sheet="1" formatCells="0" sort="0" autoFilter="0" pivotTables="0"/>
  <sortState xmlns:xlrd2="http://schemas.microsoft.com/office/spreadsheetml/2017/richdata2" ref="B6:C8">
    <sortCondition descending="1" ref="B6:B8"/>
  </sortState>
  <mergeCells count="2">
    <mergeCell ref="K23:N23"/>
    <mergeCell ref="A23:C23"/>
  </mergeCells>
  <phoneticPr fontId="4" type="noConversion"/>
  <conditionalFormatting sqref="B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C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E3 D4 E4:E1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L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operator="lessThanOrEqual" allowBlank="1" showInputMessage="1" showErrorMessage="1" sqref="C3:C15" xr:uid="{C3F4C2A5-99C8-4A77-B129-E3B3D85782F3}">
      <formula1>20</formula1>
    </dataValidation>
  </dataValidations>
  <hyperlinks>
    <hyperlink ref="K23" r:id="rId1" xr:uid="{CE3E9AA1-C1AB-4612-9B46-902C0C855AFF}"/>
    <hyperlink ref="A23:C23" r:id="rId2" display="Küldd el nekünk is a véleményedet!" xr:uid="{192635FE-9C46-44CC-B2BA-A06DDDFE7BEF}"/>
  </hyperlink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26BD8FD-4135-4EAE-9FC3-FF1DE743441D}">
          <x14:formula1>
            <xm:f>Munka1!$A$2:$A$30</xm:f>
          </x14:formula1>
          <xm:sqref>H3:I3 H15:I15</xm:sqref>
        </x14:dataValidation>
        <x14:dataValidation type="list" allowBlank="1" showInputMessage="1" showErrorMessage="1" xr:uid="{781144B3-0D52-48C7-9FED-4BF6AC71D386}">
          <x14:formula1>
            <xm:f>Munka1!$AG$2:$AG$19</xm:f>
          </x14:formula1>
          <xm:sqref>L1 L3</xm:sqref>
        </x14:dataValidation>
        <x14:dataValidation type="list" allowBlank="1" showInputMessage="1" showErrorMessage="1" xr:uid="{472DDDDB-4E58-4C26-9EA3-1CE7E46DDF40}">
          <x14:formula1>
            <xm:f>Munka1!$AH$2:$AH$42</xm:f>
          </x14:formula1>
          <xm:sqref>M1 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0D4C-2063-4CA9-AF97-C22FE54B6614}">
  <dimension ref="A1:C9"/>
  <sheetViews>
    <sheetView workbookViewId="0">
      <selection sqref="A1:C9"/>
    </sheetView>
  </sheetViews>
  <sheetFormatPr defaultRowHeight="14.4" x14ac:dyDescent="0.3"/>
  <cols>
    <col min="3" max="3" width="31.77734375" bestFit="1" customWidth="1"/>
  </cols>
  <sheetData>
    <row r="1" spans="1:3" ht="23.4" x14ac:dyDescent="0.3">
      <c r="A1" s="3">
        <v>5</v>
      </c>
      <c r="B1" s="3">
        <v>0</v>
      </c>
      <c r="C1" s="3" t="s">
        <v>3</v>
      </c>
    </row>
    <row r="2" spans="1:3" ht="23.4" x14ac:dyDescent="0.3">
      <c r="A2" s="3">
        <v>4</v>
      </c>
      <c r="B2" s="3">
        <v>0.249</v>
      </c>
      <c r="C2" s="3" t="s">
        <v>4</v>
      </c>
    </row>
    <row r="3" spans="1:3" ht="23.4" x14ac:dyDescent="0.3">
      <c r="A3" s="3">
        <v>3</v>
      </c>
      <c r="B3" s="3">
        <v>0.49</v>
      </c>
      <c r="C3" s="3" t="s">
        <v>5</v>
      </c>
    </row>
    <row r="4" spans="1:3" ht="23.4" x14ac:dyDescent="0.3">
      <c r="A4" s="3">
        <v>2</v>
      </c>
      <c r="B4" s="3">
        <v>0.749</v>
      </c>
      <c r="C4" s="3" t="s">
        <v>6</v>
      </c>
    </row>
    <row r="5" spans="1:3" ht="23.4" x14ac:dyDescent="0.45">
      <c r="A5" s="3">
        <v>1</v>
      </c>
      <c r="B5" s="3" t="s">
        <v>13</v>
      </c>
      <c r="C5" s="1" t="s">
        <v>7</v>
      </c>
    </row>
    <row r="6" spans="1:3" ht="23.4" x14ac:dyDescent="0.45">
      <c r="A6" s="3">
        <v>6</v>
      </c>
      <c r="B6" s="4">
        <v>-0.249</v>
      </c>
      <c r="C6" s="1" t="s">
        <v>8</v>
      </c>
    </row>
    <row r="7" spans="1:3" ht="23.4" x14ac:dyDescent="0.45">
      <c r="A7" s="3">
        <v>7</v>
      </c>
      <c r="B7" s="4">
        <v>-0.49</v>
      </c>
      <c r="C7" s="1" t="s">
        <v>9</v>
      </c>
    </row>
    <row r="8" spans="1:3" ht="23.4" x14ac:dyDescent="0.45">
      <c r="A8" s="3">
        <v>8</v>
      </c>
      <c r="B8" s="4">
        <v>-0.749</v>
      </c>
      <c r="C8" s="1" t="s">
        <v>10</v>
      </c>
    </row>
    <row r="9" spans="1:3" ht="23.4" x14ac:dyDescent="0.45">
      <c r="A9" s="3">
        <v>9</v>
      </c>
      <c r="B9" s="4" t="s">
        <v>12</v>
      </c>
      <c r="C9" s="2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4A0C-F1AB-4ED8-9708-EF1E59AEC4FF}">
  <dimension ref="A1:AK42"/>
  <sheetViews>
    <sheetView topLeftCell="U11" zoomScale="126" workbookViewId="0">
      <selection activeCell="AM1" sqref="AM1"/>
    </sheetView>
  </sheetViews>
  <sheetFormatPr defaultRowHeight="14.4" x14ac:dyDescent="0.3"/>
  <cols>
    <col min="5" max="6" width="9.6640625" bestFit="1" customWidth="1"/>
    <col min="9" max="11" width="9.6640625" bestFit="1" customWidth="1"/>
    <col min="14" max="14" width="18.33203125" customWidth="1"/>
    <col min="15" max="15" width="12" bestFit="1" customWidth="1"/>
    <col min="16" max="17" width="5.5546875" bestFit="1" customWidth="1"/>
    <col min="18" max="18" width="9.77734375" customWidth="1"/>
  </cols>
  <sheetData>
    <row r="1" spans="1:37" ht="46.8" x14ac:dyDescent="0.3">
      <c r="A1" s="10"/>
      <c r="B1" s="12" t="s">
        <v>45</v>
      </c>
      <c r="C1" s="12" t="s">
        <v>46</v>
      </c>
      <c r="D1" s="13" t="s">
        <v>39</v>
      </c>
      <c r="E1" s="13" t="s">
        <v>43</v>
      </c>
      <c r="F1" s="13" t="s">
        <v>44</v>
      </c>
      <c r="G1" s="13" t="s">
        <v>53</v>
      </c>
      <c r="H1" s="13" t="s">
        <v>54</v>
      </c>
      <c r="I1" s="13" t="s">
        <v>51</v>
      </c>
      <c r="J1" s="13" t="s">
        <v>52</v>
      </c>
      <c r="K1" s="13" t="s">
        <v>64</v>
      </c>
      <c r="L1" s="13" t="s">
        <v>65</v>
      </c>
      <c r="M1" s="13" t="s">
        <v>60</v>
      </c>
      <c r="N1" s="13"/>
      <c r="O1" s="13" t="s">
        <v>61</v>
      </c>
      <c r="P1" s="13"/>
      <c r="Q1" s="13"/>
      <c r="R1" t="s">
        <v>62</v>
      </c>
      <c r="U1" t="s">
        <v>63</v>
      </c>
      <c r="X1" t="s">
        <v>73</v>
      </c>
      <c r="AA1" s="18" t="s">
        <v>74</v>
      </c>
      <c r="AG1" t="s">
        <v>106</v>
      </c>
      <c r="AH1" t="s">
        <v>107</v>
      </c>
      <c r="AK1" t="s">
        <v>119</v>
      </c>
    </row>
    <row r="2" spans="1:37" x14ac:dyDescent="0.3">
      <c r="A2" s="11" t="str">
        <f>O2</f>
        <v>P9944_</v>
      </c>
      <c r="B2" s="17">
        <f t="shared" ref="B2:B30" si="0">VLOOKUP($A2,$O$2:$Q$30,2,0)</f>
        <v>16.861999999999998</v>
      </c>
      <c r="C2" s="17">
        <f t="shared" ref="C2:C30" si="1">VLOOKUP($A2,$O$2:$Q$30,3,0)</f>
        <v>7.9589999999999996</v>
      </c>
      <c r="D2" t="str">
        <f>VLOOKUP(A2,$AA$2:$AD$30,4,0)</f>
        <v>Korai</v>
      </c>
      <c r="E2" s="16">
        <f>VLOOKUP($A2,$R$2:$T$30,2,0)</f>
        <v>14.95</v>
      </c>
      <c r="F2" s="16">
        <f t="shared" ref="F2:F30" si="2">VLOOKUP($A2,$R$2:$T$30,3,0)</f>
        <v>12.100000000000001</v>
      </c>
      <c r="G2" s="16">
        <f t="shared" ref="G2:G30" si="3">VLOOKUP($A2,$U$2:$W$30,2,0)</f>
        <v>59.75</v>
      </c>
      <c r="H2" s="16" t="str">
        <f t="shared" ref="H2:H30" si="4">VLOOKUP($A2,$U$2:$W$30,3,0)</f>
        <v>n.a.</v>
      </c>
      <c r="I2" s="16">
        <f t="shared" ref="I2:I30" si="5">VLOOKUP($A2,$X$2:$Z$30,2,0)</f>
        <v>0</v>
      </c>
      <c r="J2" s="16">
        <f t="shared" ref="J2:J30" si="6">VLOOKUP($A2,$X$2:$Z$30,3,0)</f>
        <v>0.26041666666666663</v>
      </c>
      <c r="K2" s="16">
        <f t="shared" ref="K2:K30" si="7">VLOOKUP($A2,$AA$2:$AC$30,2,0)</f>
        <v>0</v>
      </c>
      <c r="L2" s="16">
        <f t="shared" ref="L2:L30" si="8">VLOOKUP($A2,$AA$2:$AC$30,3,0)</f>
        <v>0</v>
      </c>
      <c r="M2" s="16" t="str">
        <f t="shared" ref="M2:M30" si="9">VLOOKUP($A2,$AA$2:$AD$30,4,0)</f>
        <v>Korai</v>
      </c>
      <c r="N2" s="16" t="e">
        <f>VLOOKUP($A2,#REF!,3,0)</f>
        <v>#REF!</v>
      </c>
      <c r="O2" s="70" t="s">
        <v>75</v>
      </c>
      <c r="P2" s="71">
        <v>16.861999999999998</v>
      </c>
      <c r="Q2" s="71">
        <v>7.9589999999999996</v>
      </c>
      <c r="R2" t="s">
        <v>76</v>
      </c>
      <c r="S2" s="16">
        <v>15.375</v>
      </c>
      <c r="T2" s="16">
        <v>13.7</v>
      </c>
      <c r="U2" t="s">
        <v>76</v>
      </c>
      <c r="V2" s="16">
        <v>57.75</v>
      </c>
      <c r="W2" t="s">
        <v>105</v>
      </c>
      <c r="X2" t="s">
        <v>76</v>
      </c>
      <c r="Y2" s="16">
        <v>0</v>
      </c>
      <c r="Z2" s="16">
        <v>0.26881720430107531</v>
      </c>
      <c r="AA2" t="s">
        <v>76</v>
      </c>
      <c r="AB2" s="16">
        <v>0.55555555555555558</v>
      </c>
      <c r="AC2" s="16">
        <v>0</v>
      </c>
      <c r="AD2" t="s">
        <v>38</v>
      </c>
      <c r="AE2" t="s">
        <v>75</v>
      </c>
      <c r="AF2" t="s">
        <v>101</v>
      </c>
      <c r="AG2">
        <v>150000</v>
      </c>
      <c r="AH2">
        <v>40000</v>
      </c>
      <c r="AJ2" t="s">
        <v>76</v>
      </c>
      <c r="AK2" s="16" t="s">
        <v>120</v>
      </c>
    </row>
    <row r="3" spans="1:37" x14ac:dyDescent="0.3">
      <c r="A3" s="11" t="str">
        <f t="shared" ref="A3:A30" si="10">O3</f>
        <v>KWS Oltenio</v>
      </c>
      <c r="B3" s="17">
        <f t="shared" si="0"/>
        <v>15.680999999999999</v>
      </c>
      <c r="C3" s="17">
        <f t="shared" si="1"/>
        <v>8.8870000000000005</v>
      </c>
      <c r="D3" t="str">
        <f t="shared" ref="D3:D30" si="11">VLOOKUP(A3,$AA$2:$AD$30,4,0)</f>
        <v>Korai</v>
      </c>
      <c r="E3" s="16">
        <f t="shared" ref="E3:E30" si="12">VLOOKUP($A3,$R$2:$T$30,2,0)</f>
        <v>14.8</v>
      </c>
      <c r="F3" s="16">
        <f t="shared" si="2"/>
        <v>12.649999999999999</v>
      </c>
      <c r="G3" s="16">
        <f t="shared" si="3"/>
        <v>58.35</v>
      </c>
      <c r="H3" s="16" t="str">
        <f t="shared" si="4"/>
        <v>n.a.</v>
      </c>
      <c r="I3" s="16">
        <f t="shared" si="5"/>
        <v>0.49019607843137253</v>
      </c>
      <c r="J3" s="16">
        <f t="shared" si="6"/>
        <v>0</v>
      </c>
      <c r="K3" s="16">
        <f t="shared" si="7"/>
        <v>0</v>
      </c>
      <c r="L3" s="16">
        <f t="shared" si="8"/>
        <v>4.2149046365310685</v>
      </c>
      <c r="M3" s="16" t="str">
        <f t="shared" si="9"/>
        <v>Korai</v>
      </c>
      <c r="N3" s="16" t="e">
        <f>VLOOKUP($A3,#REF!,3,0)</f>
        <v>#REF!</v>
      </c>
      <c r="O3" s="70" t="s">
        <v>77</v>
      </c>
      <c r="P3" s="71">
        <v>15.680999999999999</v>
      </c>
      <c r="Q3" s="71">
        <v>8.8870000000000005</v>
      </c>
      <c r="R3" t="s">
        <v>36</v>
      </c>
      <c r="S3" s="16">
        <v>15.349999999999998</v>
      </c>
      <c r="T3" s="16">
        <v>12.45</v>
      </c>
      <c r="U3" t="s">
        <v>36</v>
      </c>
      <c r="V3" s="16">
        <v>59.65</v>
      </c>
      <c r="W3" t="s">
        <v>105</v>
      </c>
      <c r="X3" t="s">
        <v>36</v>
      </c>
      <c r="Y3" s="16">
        <v>0.26881720430107531</v>
      </c>
      <c r="Z3" s="16">
        <v>0.54951690821256038</v>
      </c>
      <c r="AA3" t="s">
        <v>36</v>
      </c>
      <c r="AB3" s="16">
        <v>0</v>
      </c>
      <c r="AC3" s="16">
        <v>0.78125</v>
      </c>
      <c r="AD3" t="s">
        <v>38</v>
      </c>
      <c r="AE3" t="s">
        <v>77</v>
      </c>
      <c r="AF3" t="s">
        <v>102</v>
      </c>
      <c r="AG3">
        <v>200000</v>
      </c>
      <c r="AH3">
        <v>42000</v>
      </c>
      <c r="AJ3" t="s">
        <v>36</v>
      </c>
      <c r="AK3" s="16" t="s">
        <v>121</v>
      </c>
    </row>
    <row r="4" spans="1:37" x14ac:dyDescent="0.3">
      <c r="A4" s="11" t="str">
        <f t="shared" si="10"/>
        <v>P9363</v>
      </c>
      <c r="B4" s="17">
        <f t="shared" si="0"/>
        <v>15.435</v>
      </c>
      <c r="C4" s="17">
        <f t="shared" si="1"/>
        <v>8.2370000000000001</v>
      </c>
      <c r="D4" t="str">
        <f t="shared" si="11"/>
        <v>Korai</v>
      </c>
      <c r="E4" s="16">
        <f t="shared" si="12"/>
        <v>15.349999999999998</v>
      </c>
      <c r="F4" s="16">
        <f t="shared" si="2"/>
        <v>12.45</v>
      </c>
      <c r="G4" s="16">
        <f t="shared" si="3"/>
        <v>59.65</v>
      </c>
      <c r="H4" s="16" t="str">
        <f t="shared" si="4"/>
        <v>n.a.</v>
      </c>
      <c r="I4" s="16">
        <f t="shared" si="5"/>
        <v>0.26881720430107531</v>
      </c>
      <c r="J4" s="16">
        <f t="shared" si="6"/>
        <v>0.54951690821256038</v>
      </c>
      <c r="K4" s="16">
        <f t="shared" si="7"/>
        <v>0</v>
      </c>
      <c r="L4" s="16">
        <f t="shared" si="8"/>
        <v>0.78125</v>
      </c>
      <c r="M4" s="16" t="str">
        <f t="shared" si="9"/>
        <v>Korai</v>
      </c>
      <c r="N4" s="16" t="e">
        <f>VLOOKUP($A4,#REF!,3,0)</f>
        <v>#REF!</v>
      </c>
      <c r="O4" s="70" t="s">
        <v>36</v>
      </c>
      <c r="P4" s="71">
        <v>15.435</v>
      </c>
      <c r="Q4" s="71">
        <v>8.2370000000000001</v>
      </c>
      <c r="R4" t="s">
        <v>78</v>
      </c>
      <c r="S4" s="16">
        <v>15.174999999999999</v>
      </c>
      <c r="T4" s="16">
        <v>12.625</v>
      </c>
      <c r="U4" t="s">
        <v>78</v>
      </c>
      <c r="V4" s="16">
        <v>58.9</v>
      </c>
      <c r="W4" t="s">
        <v>105</v>
      </c>
      <c r="X4" t="s">
        <v>78</v>
      </c>
      <c r="Y4" s="16">
        <v>0.25773195876288657</v>
      </c>
      <c r="Z4" s="16">
        <v>1.0204081632653061</v>
      </c>
      <c r="AA4" t="s">
        <v>78</v>
      </c>
      <c r="AB4" s="16">
        <v>0</v>
      </c>
      <c r="AC4" s="16">
        <v>0.7994505494505495</v>
      </c>
      <c r="AD4" t="s">
        <v>38</v>
      </c>
      <c r="AE4" t="s">
        <v>36</v>
      </c>
      <c r="AF4" t="s">
        <v>102</v>
      </c>
      <c r="AG4">
        <v>250000</v>
      </c>
      <c r="AH4">
        <v>44000</v>
      </c>
      <c r="AJ4" t="s">
        <v>78</v>
      </c>
      <c r="AK4" s="16" t="s">
        <v>122</v>
      </c>
    </row>
    <row r="5" spans="1:37" x14ac:dyDescent="0.3">
      <c r="A5" s="11" t="str">
        <f>O5</f>
        <v>DKC5092_</v>
      </c>
      <c r="B5" s="17">
        <f t="shared" si="0"/>
        <v>15.183999999999999</v>
      </c>
      <c r="C5" s="17">
        <f t="shared" si="1"/>
        <v>8.391</v>
      </c>
      <c r="D5" t="str">
        <f t="shared" si="11"/>
        <v>Korai</v>
      </c>
      <c r="E5" s="16">
        <f t="shared" si="12"/>
        <v>15.675000000000001</v>
      </c>
      <c r="F5" s="16">
        <f t="shared" si="2"/>
        <v>12.875</v>
      </c>
      <c r="G5" s="16">
        <f t="shared" si="3"/>
        <v>58.15</v>
      </c>
      <c r="H5" s="16" t="str">
        <f t="shared" si="4"/>
        <v>n.a.</v>
      </c>
      <c r="I5" s="16">
        <f t="shared" si="5"/>
        <v>0.50505050505050508</v>
      </c>
      <c r="J5" s="16">
        <f t="shared" si="6"/>
        <v>0.54347826086956519</v>
      </c>
      <c r="K5" s="16">
        <f t="shared" si="7"/>
        <v>0</v>
      </c>
      <c r="L5" s="16">
        <f t="shared" si="8"/>
        <v>0</v>
      </c>
      <c r="M5" s="16" t="str">
        <f t="shared" si="9"/>
        <v>Korai</v>
      </c>
      <c r="N5" s="16" t="e">
        <f>VLOOKUP($A5,#REF!,3,0)</f>
        <v>#REF!</v>
      </c>
      <c r="O5" s="70" t="s">
        <v>79</v>
      </c>
      <c r="P5" s="71">
        <v>15.183999999999999</v>
      </c>
      <c r="Q5" s="71">
        <v>8.391</v>
      </c>
      <c r="R5" t="s">
        <v>77</v>
      </c>
      <c r="S5" s="16">
        <v>14.8</v>
      </c>
      <c r="T5" s="16">
        <v>12.649999999999999</v>
      </c>
      <c r="U5" t="s">
        <v>77</v>
      </c>
      <c r="V5" s="16">
        <v>58.35</v>
      </c>
      <c r="W5" t="s">
        <v>105</v>
      </c>
      <c r="X5" t="s">
        <v>77</v>
      </c>
      <c r="Y5" s="16">
        <v>0.49019607843137253</v>
      </c>
      <c r="Z5" s="16">
        <v>0</v>
      </c>
      <c r="AA5" t="s">
        <v>77</v>
      </c>
      <c r="AB5" s="16">
        <v>0</v>
      </c>
      <c r="AC5" s="16">
        <v>4.2149046365310685</v>
      </c>
      <c r="AD5" t="s">
        <v>38</v>
      </c>
      <c r="AE5" t="s">
        <v>79</v>
      </c>
      <c r="AF5" t="s">
        <v>103</v>
      </c>
      <c r="AG5">
        <v>300000</v>
      </c>
      <c r="AH5">
        <v>46000</v>
      </c>
      <c r="AJ5" t="s">
        <v>118</v>
      </c>
      <c r="AK5" s="16" t="s">
        <v>123</v>
      </c>
    </row>
    <row r="6" spans="1:37" x14ac:dyDescent="0.3">
      <c r="A6" s="11" t="str">
        <f t="shared" si="10"/>
        <v>Merida</v>
      </c>
      <c r="B6" s="17">
        <f t="shared" si="0"/>
        <v>15.307</v>
      </c>
      <c r="C6" s="17">
        <f t="shared" si="1"/>
        <v>7.8929999999999998</v>
      </c>
      <c r="D6" t="str">
        <f t="shared" si="11"/>
        <v>Korai</v>
      </c>
      <c r="E6" s="16">
        <f t="shared" si="12"/>
        <v>14.95</v>
      </c>
      <c r="F6" s="16">
        <f t="shared" si="2"/>
        <v>12.15</v>
      </c>
      <c r="G6" s="16">
        <f t="shared" si="3"/>
        <v>60.05</v>
      </c>
      <c r="H6" s="16" t="str">
        <f t="shared" si="4"/>
        <v>n.a.</v>
      </c>
      <c r="I6" s="16">
        <f t="shared" si="5"/>
        <v>1.5667500816015667</v>
      </c>
      <c r="J6" s="16">
        <f t="shared" si="6"/>
        <v>0.52083333333333326</v>
      </c>
      <c r="K6" s="16">
        <f t="shared" si="7"/>
        <v>1.5667500816015667</v>
      </c>
      <c r="L6" s="16">
        <f t="shared" si="8"/>
        <v>0.52083333333333326</v>
      </c>
      <c r="M6" s="16" t="str">
        <f t="shared" si="9"/>
        <v>Korai</v>
      </c>
      <c r="N6" s="16" t="e">
        <f>VLOOKUP($A6,#REF!,3,0)</f>
        <v>#REF!</v>
      </c>
      <c r="O6" s="70" t="s">
        <v>37</v>
      </c>
      <c r="P6" s="71">
        <v>15.307</v>
      </c>
      <c r="Q6" s="71">
        <v>7.8929999999999998</v>
      </c>
      <c r="R6" s="6" t="s">
        <v>75</v>
      </c>
      <c r="S6" s="16">
        <v>14.95</v>
      </c>
      <c r="T6" s="16">
        <v>12.100000000000001</v>
      </c>
      <c r="U6" t="s">
        <v>75</v>
      </c>
      <c r="V6" s="16">
        <v>59.75</v>
      </c>
      <c r="W6" t="s">
        <v>105</v>
      </c>
      <c r="X6" t="s">
        <v>75</v>
      </c>
      <c r="Y6" s="16">
        <v>0</v>
      </c>
      <c r="Z6" s="16">
        <v>0.26041666666666663</v>
      </c>
      <c r="AA6" t="s">
        <v>75</v>
      </c>
      <c r="AB6" s="16">
        <v>0</v>
      </c>
      <c r="AC6" s="16">
        <v>0</v>
      </c>
      <c r="AD6" t="s">
        <v>38</v>
      </c>
      <c r="AE6" t="s">
        <v>80</v>
      </c>
      <c r="AF6" t="s">
        <v>102</v>
      </c>
      <c r="AG6">
        <v>350000</v>
      </c>
      <c r="AH6">
        <v>48000</v>
      </c>
      <c r="AJ6" t="s">
        <v>75</v>
      </c>
      <c r="AK6" s="16" t="s">
        <v>124</v>
      </c>
    </row>
    <row r="7" spans="1:37" x14ac:dyDescent="0.3">
      <c r="A7" s="11" t="str">
        <f t="shared" si="10"/>
        <v>RGT ALEXX</v>
      </c>
      <c r="B7" s="17">
        <f t="shared" si="0"/>
        <v>15.488</v>
      </c>
      <c r="C7" s="17">
        <f t="shared" si="1"/>
        <v>7.69</v>
      </c>
      <c r="D7" t="str">
        <f t="shared" si="11"/>
        <v>Korai</v>
      </c>
      <c r="E7" s="16">
        <f t="shared" si="12"/>
        <v>14.8</v>
      </c>
      <c r="F7" s="16">
        <f t="shared" si="2"/>
        <v>11.700000000000001</v>
      </c>
      <c r="G7" s="16">
        <f t="shared" si="3"/>
        <v>59.05</v>
      </c>
      <c r="H7" s="16" t="str">
        <f t="shared" si="4"/>
        <v>n.a.</v>
      </c>
      <c r="I7" s="16">
        <f t="shared" si="5"/>
        <v>0.7923315602836879</v>
      </c>
      <c r="J7" s="16">
        <f t="shared" si="6"/>
        <v>0</v>
      </c>
      <c r="K7" s="16">
        <f t="shared" si="7"/>
        <v>1.2843851132686082</v>
      </c>
      <c r="L7" s="16">
        <f t="shared" si="8"/>
        <v>0</v>
      </c>
      <c r="M7" s="16" t="str">
        <f t="shared" si="9"/>
        <v>Korai</v>
      </c>
      <c r="N7" s="16" t="e">
        <f>VLOOKUP($A7,#REF!,3,0)</f>
        <v>#REF!</v>
      </c>
      <c r="O7" s="70" t="s">
        <v>80</v>
      </c>
      <c r="P7" s="71">
        <v>15.488</v>
      </c>
      <c r="Q7" s="71">
        <v>7.69</v>
      </c>
      <c r="R7" t="s">
        <v>81</v>
      </c>
      <c r="S7" s="16">
        <v>14.799999999999999</v>
      </c>
      <c r="T7" s="16">
        <v>12.625000000000002</v>
      </c>
      <c r="U7" t="s">
        <v>81</v>
      </c>
      <c r="V7" s="16">
        <v>58.15</v>
      </c>
      <c r="W7" t="s">
        <v>105</v>
      </c>
      <c r="X7" t="s">
        <v>81</v>
      </c>
      <c r="Y7" s="16">
        <v>0.25510204081632654</v>
      </c>
      <c r="Z7" s="16">
        <v>0.55909545227386304</v>
      </c>
      <c r="AA7" t="s">
        <v>81</v>
      </c>
      <c r="AB7" s="16">
        <v>0</v>
      </c>
      <c r="AC7" s="16">
        <v>0</v>
      </c>
      <c r="AD7" t="s">
        <v>38</v>
      </c>
      <c r="AE7" t="s">
        <v>37</v>
      </c>
      <c r="AF7" t="s">
        <v>103</v>
      </c>
      <c r="AG7">
        <v>400000</v>
      </c>
      <c r="AH7">
        <v>50000</v>
      </c>
      <c r="AJ7" t="s">
        <v>81</v>
      </c>
      <c r="AK7" s="16" t="s">
        <v>125</v>
      </c>
    </row>
    <row r="8" spans="1:37" x14ac:dyDescent="0.3">
      <c r="A8" s="11" t="str">
        <f t="shared" si="10"/>
        <v>DUELING</v>
      </c>
      <c r="B8" s="17">
        <f t="shared" si="0"/>
        <v>14.161</v>
      </c>
      <c r="C8" s="17">
        <f t="shared" si="1"/>
        <v>8.4689999999999994</v>
      </c>
      <c r="D8" t="str">
        <f t="shared" si="11"/>
        <v>Korai</v>
      </c>
      <c r="E8" s="16">
        <f t="shared" si="12"/>
        <v>14.799999999999999</v>
      </c>
      <c r="F8" s="16">
        <f t="shared" si="2"/>
        <v>12.625000000000002</v>
      </c>
      <c r="G8" s="16">
        <f t="shared" si="3"/>
        <v>58.15</v>
      </c>
      <c r="H8" s="16" t="str">
        <f t="shared" si="4"/>
        <v>n.a.</v>
      </c>
      <c r="I8" s="16">
        <f t="shared" si="5"/>
        <v>0.25510204081632654</v>
      </c>
      <c r="J8" s="16">
        <f t="shared" si="6"/>
        <v>0.55909545227386304</v>
      </c>
      <c r="K8" s="16">
        <f t="shared" si="7"/>
        <v>0</v>
      </c>
      <c r="L8" s="16">
        <f t="shared" si="8"/>
        <v>0</v>
      </c>
      <c r="M8" s="16" t="str">
        <f t="shared" si="9"/>
        <v>Korai</v>
      </c>
      <c r="N8" s="16" t="e">
        <f>VLOOKUP($A8,#REF!,3,0)</f>
        <v>#REF!</v>
      </c>
      <c r="O8" s="70" t="s">
        <v>81</v>
      </c>
      <c r="P8" s="71">
        <v>14.161</v>
      </c>
      <c r="Q8" s="71">
        <v>8.4689999999999994</v>
      </c>
      <c r="R8" t="s">
        <v>80</v>
      </c>
      <c r="S8" s="16">
        <v>14.8</v>
      </c>
      <c r="T8" s="16">
        <v>11.700000000000001</v>
      </c>
      <c r="U8" t="s">
        <v>80</v>
      </c>
      <c r="V8" s="16">
        <v>59.05</v>
      </c>
      <c r="W8" t="s">
        <v>105</v>
      </c>
      <c r="X8" t="s">
        <v>80</v>
      </c>
      <c r="Y8" s="16">
        <v>0.7923315602836879</v>
      </c>
      <c r="Z8" s="16">
        <v>0</v>
      </c>
      <c r="AA8" t="s">
        <v>80</v>
      </c>
      <c r="AB8" s="16">
        <v>1.2843851132686082</v>
      </c>
      <c r="AC8" s="16">
        <v>0</v>
      </c>
      <c r="AD8" t="s">
        <v>38</v>
      </c>
      <c r="AE8" t="s">
        <v>81</v>
      </c>
      <c r="AF8" t="s">
        <v>103</v>
      </c>
      <c r="AG8">
        <v>450000</v>
      </c>
      <c r="AH8">
        <v>52000</v>
      </c>
      <c r="AJ8" t="s">
        <v>80</v>
      </c>
      <c r="AK8" s="16" t="s">
        <v>121</v>
      </c>
    </row>
    <row r="9" spans="1:37" x14ac:dyDescent="0.3">
      <c r="A9" s="11" t="str">
        <f t="shared" si="10"/>
        <v>KABANERO</v>
      </c>
      <c r="B9" s="17">
        <f t="shared" si="0"/>
        <v>14.032</v>
      </c>
      <c r="C9" s="17">
        <f t="shared" si="1"/>
        <v>8.44</v>
      </c>
      <c r="D9" t="str">
        <f t="shared" si="11"/>
        <v>Korai</v>
      </c>
      <c r="E9" s="16">
        <f t="shared" si="12"/>
        <v>15.174999999999999</v>
      </c>
      <c r="F9" s="16">
        <f t="shared" si="2"/>
        <v>12.625</v>
      </c>
      <c r="G9" s="16">
        <f t="shared" si="3"/>
        <v>58.9</v>
      </c>
      <c r="H9" s="16" t="str">
        <f t="shared" si="4"/>
        <v>n.a.</v>
      </c>
      <c r="I9" s="16">
        <f t="shared" si="5"/>
        <v>0.25773195876288657</v>
      </c>
      <c r="J9" s="16">
        <f t="shared" si="6"/>
        <v>1.0204081632653061</v>
      </c>
      <c r="K9" s="16">
        <f t="shared" si="7"/>
        <v>0</v>
      </c>
      <c r="L9" s="16">
        <f t="shared" si="8"/>
        <v>0.7994505494505495</v>
      </c>
      <c r="M9" s="16" t="str">
        <f t="shared" si="9"/>
        <v>Korai</v>
      </c>
      <c r="N9" s="16" t="e">
        <f>VLOOKUP($A9,#REF!,3,0)</f>
        <v>#REF!</v>
      </c>
      <c r="O9" s="70" t="s">
        <v>78</v>
      </c>
      <c r="P9" s="71">
        <v>14.032</v>
      </c>
      <c r="Q9" s="71">
        <v>8.44</v>
      </c>
      <c r="R9" t="s">
        <v>37</v>
      </c>
      <c r="S9" s="16">
        <v>14.95</v>
      </c>
      <c r="T9" s="16">
        <v>12.15</v>
      </c>
      <c r="U9" t="s">
        <v>37</v>
      </c>
      <c r="V9" s="16">
        <v>60.05</v>
      </c>
      <c r="W9" t="s">
        <v>105</v>
      </c>
      <c r="X9" t="s">
        <v>37</v>
      </c>
      <c r="Y9" s="16">
        <v>1.5667500816015667</v>
      </c>
      <c r="Z9" s="16">
        <v>0.52083333333333326</v>
      </c>
      <c r="AA9" t="s">
        <v>37</v>
      </c>
      <c r="AB9" s="16">
        <v>1.5667500816015667</v>
      </c>
      <c r="AC9" s="16">
        <v>0.52083333333333326</v>
      </c>
      <c r="AD9" t="s">
        <v>38</v>
      </c>
      <c r="AE9" t="s">
        <v>78</v>
      </c>
      <c r="AF9" t="s">
        <v>103</v>
      </c>
      <c r="AG9">
        <v>500000</v>
      </c>
      <c r="AH9">
        <v>54000</v>
      </c>
      <c r="AJ9" t="s">
        <v>37</v>
      </c>
      <c r="AK9" s="16" t="s">
        <v>125</v>
      </c>
    </row>
    <row r="10" spans="1:37" x14ac:dyDescent="0.3">
      <c r="A10" s="11" t="str">
        <f t="shared" si="10"/>
        <v>EV4142</v>
      </c>
      <c r="B10" s="17">
        <f t="shared" si="0"/>
        <v>14.03</v>
      </c>
      <c r="C10" s="17">
        <f t="shared" si="1"/>
        <v>8.1940000000000008</v>
      </c>
      <c r="D10" t="str">
        <f t="shared" si="11"/>
        <v>Korai</v>
      </c>
      <c r="E10" s="16">
        <f t="shared" si="12"/>
        <v>15.375</v>
      </c>
      <c r="F10" s="16">
        <f t="shared" si="2"/>
        <v>13.7</v>
      </c>
      <c r="G10" s="16">
        <f t="shared" si="3"/>
        <v>57.75</v>
      </c>
      <c r="H10" s="16" t="str">
        <f t="shared" si="4"/>
        <v>n.a.</v>
      </c>
      <c r="I10" s="16">
        <f t="shared" si="5"/>
        <v>0</v>
      </c>
      <c r="J10" s="16">
        <f t="shared" si="6"/>
        <v>0.26881720430107531</v>
      </c>
      <c r="K10" s="16">
        <f t="shared" si="7"/>
        <v>0.55555555555555558</v>
      </c>
      <c r="L10" s="16">
        <f t="shared" si="8"/>
        <v>0</v>
      </c>
      <c r="M10" s="16" t="str">
        <f t="shared" si="9"/>
        <v>Korai</v>
      </c>
      <c r="N10" s="16" t="e">
        <f>VLOOKUP($A10,#REF!,3,0)</f>
        <v>#REF!</v>
      </c>
      <c r="O10" s="70" t="s">
        <v>76</v>
      </c>
      <c r="P10" s="71">
        <v>14.03</v>
      </c>
      <c r="Q10" s="71">
        <v>8.1940000000000008</v>
      </c>
      <c r="R10" t="s">
        <v>79</v>
      </c>
      <c r="S10" s="16">
        <v>15.675000000000001</v>
      </c>
      <c r="T10" s="16">
        <v>12.875</v>
      </c>
      <c r="U10" t="s">
        <v>79</v>
      </c>
      <c r="V10" s="16">
        <v>58.15</v>
      </c>
      <c r="W10" t="s">
        <v>105</v>
      </c>
      <c r="X10" t="s">
        <v>79</v>
      </c>
      <c r="Y10" s="16">
        <v>0.50505050505050508</v>
      </c>
      <c r="Z10" s="16">
        <v>0.54347826086956519</v>
      </c>
      <c r="AA10" t="s">
        <v>79</v>
      </c>
      <c r="AB10" s="16">
        <v>0</v>
      </c>
      <c r="AC10" s="16">
        <v>0</v>
      </c>
      <c r="AD10" t="s">
        <v>38</v>
      </c>
      <c r="AE10" t="s">
        <v>76</v>
      </c>
      <c r="AF10" t="s">
        <v>102</v>
      </c>
      <c r="AG10">
        <v>550000</v>
      </c>
      <c r="AH10">
        <v>56000</v>
      </c>
      <c r="AJ10" t="s">
        <v>79</v>
      </c>
      <c r="AK10" s="16" t="s">
        <v>125</v>
      </c>
    </row>
    <row r="11" spans="1:37" x14ac:dyDescent="0.3">
      <c r="A11" s="11" t="str">
        <f t="shared" si="10"/>
        <v>Átlag_</v>
      </c>
      <c r="B11" s="17">
        <f t="shared" si="0"/>
        <v>15.131</v>
      </c>
      <c r="C11" s="17">
        <f t="shared" si="1"/>
        <v>8.24</v>
      </c>
      <c r="D11" t="str">
        <f t="shared" si="11"/>
        <v>Korai</v>
      </c>
      <c r="E11" s="16">
        <f t="shared" si="12"/>
        <v>15.097222222222221</v>
      </c>
      <c r="F11" s="16">
        <f t="shared" si="2"/>
        <v>12.541666666666668</v>
      </c>
      <c r="G11" s="16">
        <f t="shared" si="3"/>
        <v>58.86666666666666</v>
      </c>
      <c r="H11" s="16" t="str">
        <f t="shared" si="4"/>
        <v>n.a.</v>
      </c>
      <c r="I11" s="16">
        <f t="shared" si="5"/>
        <v>0.45955326991638007</v>
      </c>
      <c r="J11" s="16">
        <f t="shared" si="6"/>
        <v>0.4136184432135967</v>
      </c>
      <c r="K11" s="16">
        <f t="shared" si="7"/>
        <v>0.37852119449174787</v>
      </c>
      <c r="L11" s="16">
        <f t="shared" si="8"/>
        <v>0.70182650214610565</v>
      </c>
      <c r="M11" s="16" t="str">
        <f t="shared" si="9"/>
        <v>Korai</v>
      </c>
      <c r="N11" s="16" t="e">
        <f>VLOOKUP($A11,#REF!,3,0)</f>
        <v>#REF!</v>
      </c>
      <c r="O11" s="15" t="s">
        <v>82</v>
      </c>
      <c r="P11" s="71">
        <v>15.131</v>
      </c>
      <c r="Q11" s="71">
        <v>8.24</v>
      </c>
      <c r="R11" s="15" t="s">
        <v>82</v>
      </c>
      <c r="S11" s="16">
        <v>15.097222222222221</v>
      </c>
      <c r="T11" s="16">
        <v>12.541666666666668</v>
      </c>
      <c r="U11" s="15" t="s">
        <v>82</v>
      </c>
      <c r="V11" s="16">
        <v>58.86666666666666</v>
      </c>
      <c r="W11" t="s">
        <v>105</v>
      </c>
      <c r="X11" s="15" t="s">
        <v>82</v>
      </c>
      <c r="Y11" s="16">
        <v>0.45955326991638007</v>
      </c>
      <c r="Z11" s="16">
        <v>0.4136184432135967</v>
      </c>
      <c r="AA11" s="15" t="s">
        <v>82</v>
      </c>
      <c r="AB11" s="16">
        <v>0.37852119449174787</v>
      </c>
      <c r="AC11" s="16">
        <v>0.70182650214610565</v>
      </c>
      <c r="AD11" t="s">
        <v>38</v>
      </c>
      <c r="AG11">
        <v>600000</v>
      </c>
      <c r="AH11">
        <v>58000</v>
      </c>
    </row>
    <row r="12" spans="1:37" x14ac:dyDescent="0.3">
      <c r="A12" s="11" t="str">
        <f t="shared" si="10"/>
        <v>Maximum_</v>
      </c>
      <c r="B12" s="17">
        <f t="shared" si="0"/>
        <v>16.768999999999998</v>
      </c>
      <c r="C12" s="17">
        <f t="shared" si="1"/>
        <v>8.8989999999999991</v>
      </c>
      <c r="D12" t="str">
        <f t="shared" si="11"/>
        <v>Korai</v>
      </c>
      <c r="E12" s="16">
        <f t="shared" si="12"/>
        <v>15.675000000000001</v>
      </c>
      <c r="F12" s="16">
        <f t="shared" si="2"/>
        <v>13.7</v>
      </c>
      <c r="G12" s="16">
        <f t="shared" si="3"/>
        <v>60.05</v>
      </c>
      <c r="H12" s="16" t="str">
        <f t="shared" si="4"/>
        <v>n.a.</v>
      </c>
      <c r="I12" s="16">
        <f t="shared" si="5"/>
        <v>1.5667500816015667</v>
      </c>
      <c r="J12" s="16">
        <f t="shared" si="6"/>
        <v>1.0204081632653061</v>
      </c>
      <c r="K12" s="16">
        <f t="shared" si="7"/>
        <v>1.5667500816015667</v>
      </c>
      <c r="L12" s="16">
        <f t="shared" si="8"/>
        <v>4.2149046365310685</v>
      </c>
      <c r="M12" s="16" t="str">
        <f t="shared" si="9"/>
        <v>Korai</v>
      </c>
      <c r="N12" s="16" t="e">
        <f>VLOOKUP($A12,#REF!,3,0)</f>
        <v>#REF!</v>
      </c>
      <c r="O12" s="15" t="s">
        <v>84</v>
      </c>
      <c r="P12" s="71">
        <v>16.768999999999998</v>
      </c>
      <c r="Q12" s="71">
        <v>8.8989999999999991</v>
      </c>
      <c r="R12" s="15" t="s">
        <v>84</v>
      </c>
      <c r="S12" s="16">
        <v>15.675000000000001</v>
      </c>
      <c r="T12" s="16">
        <v>13.7</v>
      </c>
      <c r="U12" s="15" t="s">
        <v>84</v>
      </c>
      <c r="V12" s="16">
        <v>60.05</v>
      </c>
      <c r="W12" t="s">
        <v>105</v>
      </c>
      <c r="X12" s="15" t="s">
        <v>84</v>
      </c>
      <c r="Y12" s="16">
        <v>1.5667500816015667</v>
      </c>
      <c r="Z12" s="16">
        <v>1.0204081632653061</v>
      </c>
      <c r="AA12" s="15" t="s">
        <v>84</v>
      </c>
      <c r="AB12" s="16">
        <v>1.5667500816015667</v>
      </c>
      <c r="AC12" s="16">
        <v>4.2149046365310685</v>
      </c>
      <c r="AD12" t="s">
        <v>38</v>
      </c>
      <c r="AG12">
        <v>650000</v>
      </c>
      <c r="AH12">
        <v>60000</v>
      </c>
    </row>
    <row r="13" spans="1:37" x14ac:dyDescent="0.3">
      <c r="A13" s="11" t="str">
        <f t="shared" si="10"/>
        <v>Minimum_</v>
      </c>
      <c r="B13" s="17">
        <f t="shared" si="0"/>
        <v>13.901999999999999</v>
      </c>
      <c r="C13" s="17">
        <f t="shared" si="1"/>
        <v>7.3769999999999998</v>
      </c>
      <c r="D13" t="str">
        <f t="shared" si="11"/>
        <v>Korai</v>
      </c>
      <c r="E13" s="16">
        <f t="shared" si="12"/>
        <v>14.799999999999999</v>
      </c>
      <c r="F13" s="16">
        <f t="shared" si="2"/>
        <v>11.700000000000001</v>
      </c>
      <c r="G13" s="16">
        <f t="shared" si="3"/>
        <v>57.75</v>
      </c>
      <c r="H13" s="16" t="str">
        <f t="shared" si="4"/>
        <v>n.a.</v>
      </c>
      <c r="I13" s="16">
        <f t="shared" si="5"/>
        <v>0</v>
      </c>
      <c r="J13" s="16">
        <f t="shared" si="6"/>
        <v>0</v>
      </c>
      <c r="K13" s="16">
        <f t="shared" si="7"/>
        <v>0</v>
      </c>
      <c r="L13" s="16">
        <f t="shared" si="8"/>
        <v>0</v>
      </c>
      <c r="M13" s="16" t="str">
        <f t="shared" si="9"/>
        <v>Korai</v>
      </c>
      <c r="N13" s="16" t="e">
        <f>VLOOKUP($A13,#REF!,3,0)</f>
        <v>#REF!</v>
      </c>
      <c r="O13" s="15" t="s">
        <v>86</v>
      </c>
      <c r="P13" s="71">
        <v>13.901999999999999</v>
      </c>
      <c r="Q13" s="71">
        <v>7.3769999999999998</v>
      </c>
      <c r="R13" s="15" t="s">
        <v>86</v>
      </c>
      <c r="S13" s="16">
        <v>14.799999999999999</v>
      </c>
      <c r="T13" s="16">
        <v>11.700000000000001</v>
      </c>
      <c r="U13" s="15" t="s">
        <v>86</v>
      </c>
      <c r="V13" s="16">
        <v>57.75</v>
      </c>
      <c r="W13" t="s">
        <v>105</v>
      </c>
      <c r="X13" s="15" t="s">
        <v>86</v>
      </c>
      <c r="Y13" s="16">
        <v>0</v>
      </c>
      <c r="Z13" s="16">
        <v>0</v>
      </c>
      <c r="AA13" s="15" t="s">
        <v>86</v>
      </c>
      <c r="AB13" s="16">
        <v>0</v>
      </c>
      <c r="AC13" s="16">
        <v>0</v>
      </c>
      <c r="AD13" t="s">
        <v>38</v>
      </c>
      <c r="AG13">
        <v>700000</v>
      </c>
      <c r="AH13">
        <v>62000</v>
      </c>
    </row>
    <row r="14" spans="1:37" x14ac:dyDescent="0.3">
      <c r="A14" s="72" t="str">
        <f t="shared" si="10"/>
        <v>P9944</v>
      </c>
      <c r="B14" s="73">
        <f t="shared" si="0"/>
        <v>16.847000000000001</v>
      </c>
      <c r="C14" s="73">
        <f t="shared" si="1"/>
        <v>9.1859999999999999</v>
      </c>
      <c r="D14" t="str">
        <f t="shared" si="11"/>
        <v>Közép</v>
      </c>
      <c r="E14" s="16">
        <f t="shared" si="12"/>
        <v>15.024999999999999</v>
      </c>
      <c r="F14" s="75">
        <f t="shared" si="2"/>
        <v>12.2</v>
      </c>
      <c r="G14" s="75">
        <f t="shared" si="3"/>
        <v>59.8</v>
      </c>
      <c r="H14" s="75" t="str">
        <f t="shared" si="4"/>
        <v>n.a.</v>
      </c>
      <c r="I14" s="75">
        <f t="shared" si="5"/>
        <v>0.78125</v>
      </c>
      <c r="J14" s="75">
        <f t="shared" si="6"/>
        <v>0.26595744680851063</v>
      </c>
      <c r="K14" s="75">
        <f t="shared" si="7"/>
        <v>0.52083333333333326</v>
      </c>
      <c r="L14" s="75">
        <f t="shared" si="8"/>
        <v>0</v>
      </c>
      <c r="M14" s="16" t="str">
        <f t="shared" si="9"/>
        <v>Közép</v>
      </c>
      <c r="N14" s="75" t="e">
        <f>VLOOKUP($A14,#REF!,3,0)</f>
        <v>#REF!</v>
      </c>
      <c r="O14" s="75" t="s">
        <v>88</v>
      </c>
      <c r="P14" s="75">
        <v>16.847000000000001</v>
      </c>
      <c r="Q14" s="75">
        <v>9.1859999999999999</v>
      </c>
      <c r="R14" s="74" t="s">
        <v>58</v>
      </c>
      <c r="S14" s="75">
        <v>15.225000000000001</v>
      </c>
      <c r="T14" s="75">
        <v>13.725000000000001</v>
      </c>
      <c r="U14" s="74" t="s">
        <v>58</v>
      </c>
      <c r="V14" s="75">
        <v>58.95</v>
      </c>
      <c r="W14" t="s">
        <v>105</v>
      </c>
      <c r="X14" s="74" t="s">
        <v>58</v>
      </c>
      <c r="Y14" s="75">
        <v>0.25</v>
      </c>
      <c r="Z14" s="75">
        <v>0.78673245614035081</v>
      </c>
      <c r="AA14" s="74" t="s">
        <v>58</v>
      </c>
      <c r="AB14" s="75">
        <v>1.2575757575757576</v>
      </c>
      <c r="AC14" s="75">
        <v>0</v>
      </c>
      <c r="AD14" s="74" t="s">
        <v>59</v>
      </c>
      <c r="AE14" t="s">
        <v>89</v>
      </c>
      <c r="AF14" t="s">
        <v>103</v>
      </c>
      <c r="AG14">
        <v>750000</v>
      </c>
      <c r="AH14">
        <v>64000</v>
      </c>
      <c r="AJ14" t="s">
        <v>58</v>
      </c>
      <c r="AK14" s="16" t="s">
        <v>126</v>
      </c>
    </row>
    <row r="15" spans="1:37" x14ac:dyDescent="0.3">
      <c r="A15" s="11" t="str">
        <f t="shared" si="10"/>
        <v>INDEM1012</v>
      </c>
      <c r="B15" s="17">
        <f t="shared" si="0"/>
        <v>16.547000000000001</v>
      </c>
      <c r="C15" s="17">
        <f t="shared" si="1"/>
        <v>9.4039999999999999</v>
      </c>
      <c r="D15" t="str">
        <f t="shared" si="11"/>
        <v>Közép</v>
      </c>
      <c r="E15" s="16">
        <f t="shared" si="12"/>
        <v>15.749999999999998</v>
      </c>
      <c r="F15" s="16">
        <f t="shared" si="2"/>
        <v>14.074999999999999</v>
      </c>
      <c r="G15" s="16">
        <f t="shared" si="3"/>
        <v>58.75</v>
      </c>
      <c r="H15" s="16" t="str">
        <f t="shared" si="4"/>
        <v>n.a.</v>
      </c>
      <c r="I15" s="16">
        <f t="shared" si="5"/>
        <v>0</v>
      </c>
      <c r="J15" s="16">
        <f t="shared" si="6"/>
        <v>0.27472527472527475</v>
      </c>
      <c r="K15" s="16">
        <f t="shared" si="7"/>
        <v>0</v>
      </c>
      <c r="L15" s="16">
        <f t="shared" si="8"/>
        <v>0</v>
      </c>
      <c r="M15" s="16" t="str">
        <f t="shared" si="9"/>
        <v>Közép</v>
      </c>
      <c r="N15" s="16" t="e">
        <f>VLOOKUP($A15,#REF!,3,0)</f>
        <v>#REF!</v>
      </c>
      <c r="O15" s="16" t="s">
        <v>89</v>
      </c>
      <c r="P15" s="16">
        <v>16.547000000000001</v>
      </c>
      <c r="Q15" s="16">
        <v>9.4039999999999999</v>
      </c>
      <c r="R15" t="s">
        <v>90</v>
      </c>
      <c r="S15" s="16">
        <v>14.975</v>
      </c>
      <c r="T15" s="16">
        <v>14.324999999999999</v>
      </c>
      <c r="U15" t="s">
        <v>90</v>
      </c>
      <c r="V15" s="16">
        <v>59.75</v>
      </c>
      <c r="W15" t="s">
        <v>105</v>
      </c>
      <c r="X15" t="s">
        <v>90</v>
      </c>
      <c r="Y15" s="16">
        <v>0.51546391752577314</v>
      </c>
      <c r="Z15" s="16">
        <v>0</v>
      </c>
      <c r="AA15" t="s">
        <v>90</v>
      </c>
      <c r="AB15" s="16">
        <v>0</v>
      </c>
      <c r="AC15" s="16">
        <v>0.55555555555555558</v>
      </c>
      <c r="AD15" s="74" t="s">
        <v>59</v>
      </c>
      <c r="AE15" t="s">
        <v>88</v>
      </c>
      <c r="AF15" t="s">
        <v>101</v>
      </c>
      <c r="AG15">
        <v>800000</v>
      </c>
      <c r="AH15">
        <v>66000</v>
      </c>
      <c r="AJ15" t="s">
        <v>90</v>
      </c>
      <c r="AK15" s="16" t="s">
        <v>127</v>
      </c>
    </row>
    <row r="16" spans="1:37" x14ac:dyDescent="0.3">
      <c r="A16" s="11" t="str">
        <f t="shared" si="10"/>
        <v>P9960</v>
      </c>
      <c r="B16" s="17">
        <f t="shared" si="0"/>
        <v>16.361999999999998</v>
      </c>
      <c r="C16" s="17">
        <f t="shared" si="1"/>
        <v>9.3550000000000004</v>
      </c>
      <c r="D16" t="str">
        <f t="shared" si="11"/>
        <v>Közép</v>
      </c>
      <c r="E16" s="16">
        <f t="shared" si="12"/>
        <v>14.9</v>
      </c>
      <c r="F16" s="16">
        <f t="shared" si="2"/>
        <v>12.6</v>
      </c>
      <c r="G16" s="16">
        <f t="shared" si="3"/>
        <v>60.55</v>
      </c>
      <c r="H16" s="16" t="str">
        <f t="shared" si="4"/>
        <v>n.a.</v>
      </c>
      <c r="I16" s="16">
        <f t="shared" si="5"/>
        <v>0</v>
      </c>
      <c r="J16" s="16">
        <f t="shared" si="6"/>
        <v>0.53514194139194138</v>
      </c>
      <c r="K16" s="16">
        <f t="shared" si="7"/>
        <v>0.51546391752577314</v>
      </c>
      <c r="L16" s="16">
        <f t="shared" si="8"/>
        <v>0</v>
      </c>
      <c r="M16" s="16" t="str">
        <f t="shared" si="9"/>
        <v>Közép</v>
      </c>
      <c r="N16" s="16" t="e">
        <f>VLOOKUP($A16,#REF!,3,0)</f>
        <v>#REF!</v>
      </c>
      <c r="O16" s="16" t="s">
        <v>91</v>
      </c>
      <c r="P16" s="16">
        <v>16.361999999999998</v>
      </c>
      <c r="Q16" s="16">
        <v>9.3550000000000004</v>
      </c>
      <c r="R16" t="s">
        <v>47</v>
      </c>
      <c r="S16" s="16">
        <v>15.225</v>
      </c>
      <c r="T16" s="16">
        <v>13.175000000000001</v>
      </c>
      <c r="U16" t="s">
        <v>47</v>
      </c>
      <c r="V16" s="16">
        <v>58.5</v>
      </c>
      <c r="W16" t="s">
        <v>105</v>
      </c>
      <c r="X16" t="s">
        <v>47</v>
      </c>
      <c r="Y16" s="16">
        <v>0.78947368421052633</v>
      </c>
      <c r="Z16" s="16">
        <v>0</v>
      </c>
      <c r="AA16" t="s">
        <v>47</v>
      </c>
      <c r="AB16" s="16">
        <v>0.26315789473684209</v>
      </c>
      <c r="AC16" s="16">
        <v>0</v>
      </c>
      <c r="AD16" s="74" t="s">
        <v>59</v>
      </c>
      <c r="AE16" t="s">
        <v>92</v>
      </c>
      <c r="AF16" t="s">
        <v>101</v>
      </c>
      <c r="AG16">
        <v>850000</v>
      </c>
      <c r="AH16">
        <v>68000</v>
      </c>
      <c r="AJ16" t="s">
        <v>47</v>
      </c>
      <c r="AK16" s="16" t="s">
        <v>125</v>
      </c>
    </row>
    <row r="17" spans="1:37" x14ac:dyDescent="0.3">
      <c r="A17" s="11" t="str">
        <f t="shared" si="10"/>
        <v>P0260</v>
      </c>
      <c r="B17" s="17">
        <f t="shared" si="0"/>
        <v>16.391999999999999</v>
      </c>
      <c r="C17" s="17">
        <f t="shared" si="1"/>
        <v>9.1829999999999998</v>
      </c>
      <c r="D17" t="str">
        <f t="shared" si="11"/>
        <v>Közép</v>
      </c>
      <c r="E17" s="16">
        <f t="shared" si="12"/>
        <v>15.8</v>
      </c>
      <c r="F17" s="16">
        <f t="shared" si="2"/>
        <v>13.875</v>
      </c>
      <c r="G17" s="16">
        <f t="shared" si="3"/>
        <v>60.35</v>
      </c>
      <c r="H17" s="16" t="str">
        <f t="shared" si="4"/>
        <v>n.a.</v>
      </c>
      <c r="I17" s="16">
        <f t="shared" si="5"/>
        <v>0</v>
      </c>
      <c r="J17" s="16">
        <f t="shared" si="6"/>
        <v>0.26881720430107531</v>
      </c>
      <c r="K17" s="16">
        <f t="shared" si="7"/>
        <v>0</v>
      </c>
      <c r="L17" s="16">
        <f t="shared" si="8"/>
        <v>0.25</v>
      </c>
      <c r="M17" s="16" t="str">
        <f t="shared" si="9"/>
        <v>Közép</v>
      </c>
      <c r="N17" s="16" t="e">
        <f>VLOOKUP($A17,#REF!,3,0)</f>
        <v>#REF!</v>
      </c>
      <c r="O17" s="16" t="s">
        <v>92</v>
      </c>
      <c r="P17" s="16">
        <v>16.391999999999999</v>
      </c>
      <c r="Q17" s="16">
        <v>9.1829999999999998</v>
      </c>
      <c r="R17" t="s">
        <v>89</v>
      </c>
      <c r="S17" s="16">
        <v>15.749999999999998</v>
      </c>
      <c r="T17" s="16">
        <v>14.074999999999999</v>
      </c>
      <c r="U17" t="s">
        <v>89</v>
      </c>
      <c r="V17" s="16">
        <v>58.75</v>
      </c>
      <c r="W17" t="s">
        <v>105</v>
      </c>
      <c r="X17" t="s">
        <v>89</v>
      </c>
      <c r="Y17" s="16">
        <v>0</v>
      </c>
      <c r="Z17" s="16">
        <v>0.27472527472527475</v>
      </c>
      <c r="AA17" t="s">
        <v>89</v>
      </c>
      <c r="AB17" s="16">
        <v>0</v>
      </c>
      <c r="AC17" s="16">
        <v>0</v>
      </c>
      <c r="AD17" s="74" t="s">
        <v>59</v>
      </c>
      <c r="AE17" t="s">
        <v>91</v>
      </c>
      <c r="AF17" t="s">
        <v>103</v>
      </c>
      <c r="AG17">
        <v>900000</v>
      </c>
      <c r="AH17">
        <v>70000</v>
      </c>
      <c r="AJ17" t="s">
        <v>89</v>
      </c>
      <c r="AK17" s="16" t="s">
        <v>128</v>
      </c>
    </row>
    <row r="18" spans="1:37" x14ac:dyDescent="0.3">
      <c r="A18" s="11" t="str">
        <f t="shared" si="10"/>
        <v>KWS Giro</v>
      </c>
      <c r="B18" s="17">
        <f t="shared" si="0"/>
        <v>15.586</v>
      </c>
      <c r="C18" s="17">
        <f t="shared" si="1"/>
        <v>9.6310000000000002</v>
      </c>
      <c r="D18" t="str">
        <f t="shared" si="11"/>
        <v>Közép</v>
      </c>
      <c r="E18" s="16">
        <f t="shared" si="12"/>
        <v>15.799999999999999</v>
      </c>
      <c r="F18" s="16">
        <f t="shared" si="2"/>
        <v>14.574999999999999</v>
      </c>
      <c r="G18" s="16">
        <f t="shared" si="3"/>
        <v>57.95</v>
      </c>
      <c r="H18" s="16" t="str">
        <f t="shared" si="4"/>
        <v>n.a.</v>
      </c>
      <c r="I18" s="16">
        <f t="shared" si="5"/>
        <v>0.25510204081632654</v>
      </c>
      <c r="J18" s="16">
        <f t="shared" si="6"/>
        <v>0.51546391752577314</v>
      </c>
      <c r="K18" s="16">
        <f t="shared" si="7"/>
        <v>0</v>
      </c>
      <c r="L18" s="16">
        <f t="shared" si="8"/>
        <v>0</v>
      </c>
      <c r="M18" s="16" t="str">
        <f t="shared" si="9"/>
        <v>Közép</v>
      </c>
      <c r="N18" s="16"/>
      <c r="O18" s="76" t="s">
        <v>93</v>
      </c>
      <c r="P18" s="16">
        <v>15.586</v>
      </c>
      <c r="Q18" s="16">
        <v>9.6310000000000002</v>
      </c>
      <c r="R18" s="15" t="s">
        <v>94</v>
      </c>
      <c r="S18" s="16">
        <v>14.875</v>
      </c>
      <c r="T18" s="16">
        <v>12.574999999999999</v>
      </c>
      <c r="U18" s="15" t="s">
        <v>94</v>
      </c>
      <c r="V18" s="16">
        <v>58.9</v>
      </c>
      <c r="W18" t="s">
        <v>105</v>
      </c>
      <c r="X18" s="15" t="s">
        <v>94</v>
      </c>
      <c r="Y18" s="16">
        <v>0.51546391752577314</v>
      </c>
      <c r="Z18" s="16">
        <v>0.26881720430107531</v>
      </c>
      <c r="AA18" s="15" t="s">
        <v>94</v>
      </c>
      <c r="AB18" s="16">
        <v>0.51020408163265307</v>
      </c>
      <c r="AC18" s="16">
        <v>0</v>
      </c>
      <c r="AD18" s="74" t="s">
        <v>59</v>
      </c>
      <c r="AE18" t="s">
        <v>93</v>
      </c>
      <c r="AF18" t="s">
        <v>101</v>
      </c>
      <c r="AG18">
        <v>950000</v>
      </c>
      <c r="AH18">
        <v>72000</v>
      </c>
      <c r="AJ18" t="s">
        <v>94</v>
      </c>
      <c r="AK18" s="16" t="s">
        <v>127</v>
      </c>
    </row>
    <row r="19" spans="1:37" x14ac:dyDescent="0.3">
      <c r="A19" s="11" t="str">
        <f t="shared" si="10"/>
        <v>KWS Forturio</v>
      </c>
      <c r="B19" s="17">
        <f t="shared" si="0"/>
        <v>15.541</v>
      </c>
      <c r="C19" s="17">
        <f t="shared" si="1"/>
        <v>9.4670000000000005</v>
      </c>
      <c r="D19" t="str">
        <f t="shared" si="11"/>
        <v>Közép</v>
      </c>
      <c r="E19" s="16">
        <f t="shared" si="12"/>
        <v>14.05</v>
      </c>
      <c r="F19" s="16">
        <f t="shared" si="2"/>
        <v>11.95</v>
      </c>
      <c r="G19" s="16">
        <f t="shared" si="3"/>
        <v>58.5</v>
      </c>
      <c r="H19" s="16" t="str">
        <f t="shared" si="4"/>
        <v>n.a.</v>
      </c>
      <c r="I19" s="16">
        <f t="shared" si="5"/>
        <v>0</v>
      </c>
      <c r="J19" s="16">
        <f t="shared" si="6"/>
        <v>0.26041666666666663</v>
      </c>
      <c r="K19" s="16">
        <f t="shared" si="7"/>
        <v>2.7631886900030209</v>
      </c>
      <c r="L19" s="16">
        <f t="shared" si="8"/>
        <v>0</v>
      </c>
      <c r="M19" s="16" t="str">
        <f t="shared" si="9"/>
        <v>Közép</v>
      </c>
      <c r="N19" s="16"/>
      <c r="O19" s="77" t="s">
        <v>95</v>
      </c>
      <c r="P19" s="16">
        <v>15.541</v>
      </c>
      <c r="Q19" s="16">
        <v>9.4670000000000005</v>
      </c>
      <c r="R19" s="11" t="s">
        <v>96</v>
      </c>
      <c r="S19" s="16">
        <v>15.399999999999999</v>
      </c>
      <c r="T19" s="16">
        <v>13.625</v>
      </c>
      <c r="U19" s="11" t="s">
        <v>96</v>
      </c>
      <c r="V19" s="16">
        <v>59.8</v>
      </c>
      <c r="W19" t="s">
        <v>105</v>
      </c>
      <c r="X19" s="11" t="s">
        <v>96</v>
      </c>
      <c r="Y19" s="16">
        <v>0.26881720430107531</v>
      </c>
      <c r="Z19" s="16">
        <v>0.5617977528089888</v>
      </c>
      <c r="AA19" s="11" t="s">
        <v>96</v>
      </c>
      <c r="AB19" s="16">
        <v>0</v>
      </c>
      <c r="AC19" s="16">
        <v>0</v>
      </c>
      <c r="AD19" s="74" t="s">
        <v>59</v>
      </c>
      <c r="AE19" t="s">
        <v>95</v>
      </c>
      <c r="AF19" t="s">
        <v>103</v>
      </c>
      <c r="AG19">
        <v>1000000</v>
      </c>
      <c r="AH19">
        <v>74000</v>
      </c>
      <c r="AJ19" t="s">
        <v>96</v>
      </c>
      <c r="AK19" s="16" t="s">
        <v>120</v>
      </c>
    </row>
    <row r="20" spans="1:37" x14ac:dyDescent="0.3">
      <c r="A20" s="11" t="str">
        <f t="shared" si="10"/>
        <v>DKC5206</v>
      </c>
      <c r="B20" s="17">
        <f t="shared" si="0"/>
        <v>15.478</v>
      </c>
      <c r="C20" s="17">
        <f t="shared" si="1"/>
        <v>8.8949999999999996</v>
      </c>
      <c r="D20" t="str">
        <f t="shared" si="11"/>
        <v>Közép</v>
      </c>
      <c r="E20" s="16">
        <f t="shared" si="12"/>
        <v>15.4</v>
      </c>
      <c r="F20" s="16">
        <f t="shared" si="2"/>
        <v>13.4</v>
      </c>
      <c r="G20" s="16">
        <f t="shared" si="3"/>
        <v>59.55</v>
      </c>
      <c r="H20" s="16" t="str">
        <f t="shared" si="4"/>
        <v>n.a.</v>
      </c>
      <c r="I20" s="16">
        <f t="shared" si="5"/>
        <v>0</v>
      </c>
      <c r="J20" s="16">
        <f t="shared" si="6"/>
        <v>0.56818181818181823</v>
      </c>
      <c r="K20" s="16">
        <f t="shared" si="7"/>
        <v>0</v>
      </c>
      <c r="L20" s="16">
        <f t="shared" si="8"/>
        <v>0</v>
      </c>
      <c r="M20" s="16" t="str">
        <f t="shared" si="9"/>
        <v>Közép</v>
      </c>
      <c r="N20" s="16"/>
      <c r="O20" s="77" t="s">
        <v>97</v>
      </c>
      <c r="P20" s="16">
        <v>15.478</v>
      </c>
      <c r="Q20" s="16">
        <v>8.8949999999999996</v>
      </c>
      <c r="R20" s="11" t="s">
        <v>98</v>
      </c>
      <c r="S20" s="16">
        <v>15.25</v>
      </c>
      <c r="T20" s="16">
        <v>13.175000000000001</v>
      </c>
      <c r="U20" s="11" t="s">
        <v>98</v>
      </c>
      <c r="V20" s="16">
        <v>58.55</v>
      </c>
      <c r="W20" t="s">
        <v>105</v>
      </c>
      <c r="X20" s="11" t="s">
        <v>98</v>
      </c>
      <c r="Y20" s="16">
        <v>0.51020408163265307</v>
      </c>
      <c r="Z20" s="16">
        <v>0</v>
      </c>
      <c r="AA20" s="11" t="s">
        <v>98</v>
      </c>
      <c r="AB20" s="16">
        <v>0.98039215686274506</v>
      </c>
      <c r="AC20" s="16">
        <v>11.128831694621169</v>
      </c>
      <c r="AD20" s="74" t="s">
        <v>59</v>
      </c>
      <c r="AE20" t="s">
        <v>97</v>
      </c>
      <c r="AF20" t="s">
        <v>101</v>
      </c>
      <c r="AH20">
        <v>76000</v>
      </c>
      <c r="AJ20" t="s">
        <v>98</v>
      </c>
      <c r="AK20" s="16" t="s">
        <v>127</v>
      </c>
    </row>
    <row r="21" spans="1:37" x14ac:dyDescent="0.3">
      <c r="A21" s="11" t="str">
        <f t="shared" si="10"/>
        <v>P0217</v>
      </c>
      <c r="B21" s="17">
        <f t="shared" si="0"/>
        <v>15.488</v>
      </c>
      <c r="C21" s="17">
        <f t="shared" si="1"/>
        <v>8.8770000000000007</v>
      </c>
      <c r="D21" t="str">
        <f t="shared" si="11"/>
        <v>Közép</v>
      </c>
      <c r="E21" s="16">
        <f t="shared" si="12"/>
        <v>15.175000000000001</v>
      </c>
      <c r="F21" s="16">
        <f t="shared" si="2"/>
        <v>12.524999999999999</v>
      </c>
      <c r="G21" s="16">
        <f t="shared" si="3"/>
        <v>59.45</v>
      </c>
      <c r="H21" s="16" t="str">
        <f t="shared" si="4"/>
        <v>n.a.</v>
      </c>
      <c r="I21" s="16">
        <f t="shared" si="5"/>
        <v>0.49504950495049505</v>
      </c>
      <c r="J21" s="16">
        <f t="shared" si="6"/>
        <v>0.77358474015008971</v>
      </c>
      <c r="K21" s="16">
        <f t="shared" si="7"/>
        <v>0.5</v>
      </c>
      <c r="L21" s="16">
        <f t="shared" si="8"/>
        <v>0</v>
      </c>
      <c r="M21" s="16" t="str">
        <f t="shared" si="9"/>
        <v>Közép</v>
      </c>
      <c r="N21" s="16" t="e">
        <f>VLOOKUP($A21,#REF!,3,0)</f>
        <v>#REF!</v>
      </c>
      <c r="O21" s="16" t="s">
        <v>48</v>
      </c>
      <c r="P21" s="16">
        <v>15.488</v>
      </c>
      <c r="Q21" s="16">
        <v>8.8770000000000007</v>
      </c>
      <c r="R21" t="s">
        <v>88</v>
      </c>
      <c r="S21" s="16">
        <v>15.024999999999999</v>
      </c>
      <c r="T21" s="16">
        <v>12.2</v>
      </c>
      <c r="U21" t="s">
        <v>88</v>
      </c>
      <c r="V21" s="16">
        <v>59.8</v>
      </c>
      <c r="W21" t="s">
        <v>105</v>
      </c>
      <c r="X21" t="s">
        <v>88</v>
      </c>
      <c r="Y21" s="16">
        <v>0.78125</v>
      </c>
      <c r="Z21" s="16">
        <v>0.26595744680851063</v>
      </c>
      <c r="AA21" t="s">
        <v>88</v>
      </c>
      <c r="AB21" s="16">
        <v>0.52083333333333326</v>
      </c>
      <c r="AC21" s="16">
        <v>0</v>
      </c>
      <c r="AD21" s="74" t="s">
        <v>59</v>
      </c>
      <c r="AE21" t="s">
        <v>48</v>
      </c>
      <c r="AF21" t="s">
        <v>103</v>
      </c>
      <c r="AH21">
        <v>78000</v>
      </c>
      <c r="AJ21" t="s">
        <v>88</v>
      </c>
      <c r="AK21" s="16" t="s">
        <v>124</v>
      </c>
    </row>
    <row r="22" spans="1:37" x14ac:dyDescent="0.3">
      <c r="A22" s="11" t="str">
        <f t="shared" si="10"/>
        <v>KWS Inteligens</v>
      </c>
      <c r="B22" s="17">
        <f t="shared" si="0"/>
        <v>15.335000000000001</v>
      </c>
      <c r="C22" s="17">
        <f t="shared" si="1"/>
        <v>8.9120000000000008</v>
      </c>
      <c r="D22" t="str">
        <f t="shared" si="11"/>
        <v>Közép</v>
      </c>
      <c r="E22" s="16">
        <f t="shared" si="12"/>
        <v>15.325000000000001</v>
      </c>
      <c r="F22" s="16">
        <f t="shared" si="2"/>
        <v>13.899999999999999</v>
      </c>
      <c r="G22" s="16">
        <f t="shared" si="3"/>
        <v>59.3</v>
      </c>
      <c r="H22" s="16" t="str">
        <f t="shared" si="4"/>
        <v>n.a.</v>
      </c>
      <c r="I22" s="16">
        <f t="shared" si="5"/>
        <v>0</v>
      </c>
      <c r="J22" s="16">
        <f t="shared" si="6"/>
        <v>0.8462532299741603</v>
      </c>
      <c r="K22" s="16">
        <f t="shared" si="7"/>
        <v>2.5904203323558166</v>
      </c>
      <c r="L22" s="16">
        <f t="shared" si="8"/>
        <v>1.1696306429548564</v>
      </c>
      <c r="M22" s="16" t="str">
        <f t="shared" si="9"/>
        <v>Közép</v>
      </c>
      <c r="N22" s="16" t="e">
        <f>VLOOKUP($A22,#REF!,3,0)</f>
        <v>#REF!</v>
      </c>
      <c r="O22" s="16" t="s">
        <v>57</v>
      </c>
      <c r="P22" s="16">
        <v>15.335000000000001</v>
      </c>
      <c r="Q22" s="16">
        <v>8.9120000000000008</v>
      </c>
      <c r="R22" t="s">
        <v>99</v>
      </c>
      <c r="S22" s="16">
        <v>15.05</v>
      </c>
      <c r="T22" s="16">
        <v>13.174999999999999</v>
      </c>
      <c r="U22" t="s">
        <v>99</v>
      </c>
      <c r="V22" s="16">
        <v>58.8</v>
      </c>
      <c r="W22" t="s">
        <v>105</v>
      </c>
      <c r="X22" t="s">
        <v>99</v>
      </c>
      <c r="Y22" s="16">
        <v>0.26041666666666663</v>
      </c>
      <c r="Z22" s="16">
        <v>0</v>
      </c>
      <c r="AA22" t="s">
        <v>99</v>
      </c>
      <c r="AB22" s="16">
        <v>0.58139534883720934</v>
      </c>
      <c r="AC22" s="16">
        <v>0.2808988764044944</v>
      </c>
      <c r="AD22" s="74" t="s">
        <v>59</v>
      </c>
      <c r="AE22" t="s">
        <v>58</v>
      </c>
      <c r="AF22" t="s">
        <v>101</v>
      </c>
      <c r="AH22">
        <v>80000</v>
      </c>
      <c r="AJ22" t="s">
        <v>99</v>
      </c>
      <c r="AK22" s="16" t="s">
        <v>122</v>
      </c>
    </row>
    <row r="23" spans="1:37" x14ac:dyDescent="0.3">
      <c r="A23" s="11" t="str">
        <f t="shared" si="10"/>
        <v>P9911</v>
      </c>
      <c r="B23" s="17">
        <f t="shared" si="0"/>
        <v>15.49</v>
      </c>
      <c r="C23" s="17">
        <f t="shared" si="1"/>
        <v>8.76</v>
      </c>
      <c r="D23" t="str">
        <f t="shared" si="11"/>
        <v>Közép</v>
      </c>
      <c r="E23" s="16">
        <f t="shared" si="12"/>
        <v>15.225000000000001</v>
      </c>
      <c r="F23" s="16">
        <f t="shared" si="2"/>
        <v>13.725000000000001</v>
      </c>
      <c r="G23" s="16">
        <f t="shared" si="3"/>
        <v>58.95</v>
      </c>
      <c r="H23" s="16" t="str">
        <f t="shared" si="4"/>
        <v>n.a.</v>
      </c>
      <c r="I23" s="16">
        <f t="shared" si="5"/>
        <v>0.25</v>
      </c>
      <c r="J23" s="16">
        <f t="shared" si="6"/>
        <v>0.78673245614035081</v>
      </c>
      <c r="K23" s="16">
        <f t="shared" si="7"/>
        <v>1.2575757575757576</v>
      </c>
      <c r="L23" s="16">
        <f t="shared" si="8"/>
        <v>0</v>
      </c>
      <c r="M23" s="16" t="str">
        <f t="shared" si="9"/>
        <v>Közép</v>
      </c>
      <c r="N23" s="16" t="e">
        <f>VLOOKUP($A23,#REF!,3,0)</f>
        <v>#REF!</v>
      </c>
      <c r="O23" s="16" t="s">
        <v>58</v>
      </c>
      <c r="P23" s="16">
        <v>15.49</v>
      </c>
      <c r="Q23" s="16">
        <v>8.76</v>
      </c>
      <c r="R23" t="s">
        <v>100</v>
      </c>
      <c r="S23" s="16">
        <v>15.05</v>
      </c>
      <c r="T23" s="16">
        <v>13.225</v>
      </c>
      <c r="U23" t="s">
        <v>100</v>
      </c>
      <c r="V23" s="16">
        <v>59.55</v>
      </c>
      <c r="W23" t="s">
        <v>105</v>
      </c>
      <c r="X23" t="s">
        <v>100</v>
      </c>
      <c r="Y23" s="16">
        <v>0</v>
      </c>
      <c r="Z23" s="16">
        <v>0.52631578947368418</v>
      </c>
      <c r="AA23" t="s">
        <v>100</v>
      </c>
      <c r="AB23" s="16">
        <v>0</v>
      </c>
      <c r="AC23" s="16">
        <v>0</v>
      </c>
      <c r="AD23" s="74" t="s">
        <v>59</v>
      </c>
      <c r="AE23" t="s">
        <v>100</v>
      </c>
      <c r="AF23" t="s">
        <v>103</v>
      </c>
      <c r="AH23">
        <v>82000</v>
      </c>
      <c r="AJ23" t="s">
        <v>100</v>
      </c>
      <c r="AK23" s="16" t="s">
        <v>125</v>
      </c>
    </row>
    <row r="24" spans="1:37" x14ac:dyDescent="0.3">
      <c r="A24" s="11" t="str">
        <f t="shared" si="10"/>
        <v>Obispo</v>
      </c>
      <c r="B24" s="17">
        <f t="shared" si="0"/>
        <v>15.192</v>
      </c>
      <c r="C24" s="17">
        <f t="shared" si="1"/>
        <v>8.9939999999999998</v>
      </c>
      <c r="D24" t="str">
        <f t="shared" si="11"/>
        <v>Közép</v>
      </c>
      <c r="E24" s="16">
        <f t="shared" si="12"/>
        <v>15.05</v>
      </c>
      <c r="F24" s="16">
        <f t="shared" si="2"/>
        <v>13.225</v>
      </c>
      <c r="G24" s="16">
        <f t="shared" si="3"/>
        <v>59.55</v>
      </c>
      <c r="H24" s="16" t="str">
        <f t="shared" si="4"/>
        <v>n.a.</v>
      </c>
      <c r="I24" s="16">
        <f t="shared" si="5"/>
        <v>0</v>
      </c>
      <c r="J24" s="16">
        <f t="shared" si="6"/>
        <v>0.52631578947368418</v>
      </c>
      <c r="K24" s="16">
        <f t="shared" si="7"/>
        <v>0</v>
      </c>
      <c r="L24" s="16">
        <f t="shared" si="8"/>
        <v>0</v>
      </c>
      <c r="M24" s="16" t="str">
        <f t="shared" si="9"/>
        <v>Közép</v>
      </c>
      <c r="N24" s="16" t="e">
        <f>VLOOKUP($A24,#REF!,3,0)</f>
        <v>#REF!</v>
      </c>
      <c r="O24" s="16" t="s">
        <v>100</v>
      </c>
      <c r="P24" s="16">
        <v>15.192</v>
      </c>
      <c r="Q24" s="16">
        <v>8.9939999999999998</v>
      </c>
      <c r="R24" t="s">
        <v>91</v>
      </c>
      <c r="S24" s="16">
        <v>14.9</v>
      </c>
      <c r="T24" s="16">
        <v>12.6</v>
      </c>
      <c r="U24" t="s">
        <v>91</v>
      </c>
      <c r="V24" s="16">
        <v>60.55</v>
      </c>
      <c r="W24" t="s">
        <v>105</v>
      </c>
      <c r="X24" t="s">
        <v>91</v>
      </c>
      <c r="Y24" s="16">
        <v>0</v>
      </c>
      <c r="Z24" s="16">
        <v>0.53514194139194138</v>
      </c>
      <c r="AA24" t="s">
        <v>91</v>
      </c>
      <c r="AB24" s="16">
        <v>0.51546391752577314</v>
      </c>
      <c r="AC24" s="16">
        <v>0</v>
      </c>
      <c r="AD24" s="74" t="s">
        <v>59</v>
      </c>
      <c r="AE24" t="s">
        <v>57</v>
      </c>
      <c r="AF24" t="s">
        <v>101</v>
      </c>
      <c r="AH24">
        <v>84000</v>
      </c>
      <c r="AJ24" t="s">
        <v>91</v>
      </c>
      <c r="AK24" s="16" t="s">
        <v>129</v>
      </c>
    </row>
    <row r="25" spans="1:37" x14ac:dyDescent="0.3">
      <c r="A25" s="11" t="str">
        <f t="shared" si="10"/>
        <v>DKC5092</v>
      </c>
      <c r="B25" s="17">
        <f t="shared" si="0"/>
        <v>14.898</v>
      </c>
      <c r="C25" s="17">
        <f t="shared" si="1"/>
        <v>9.0839999999999996</v>
      </c>
      <c r="D25" t="str">
        <f t="shared" si="11"/>
        <v>Közép</v>
      </c>
      <c r="E25" s="16">
        <f t="shared" si="12"/>
        <v>15.225</v>
      </c>
      <c r="F25" s="16">
        <f t="shared" si="2"/>
        <v>13.175000000000001</v>
      </c>
      <c r="G25" s="16">
        <f t="shared" si="3"/>
        <v>58.5</v>
      </c>
      <c r="H25" s="16" t="str">
        <f t="shared" si="4"/>
        <v>n.a.</v>
      </c>
      <c r="I25" s="16">
        <f t="shared" si="5"/>
        <v>0.78947368421052633</v>
      </c>
      <c r="J25" s="16">
        <f t="shared" si="6"/>
        <v>0</v>
      </c>
      <c r="K25" s="16">
        <f t="shared" si="7"/>
        <v>0.26315789473684209</v>
      </c>
      <c r="L25" s="16">
        <f t="shared" si="8"/>
        <v>0</v>
      </c>
      <c r="M25" s="16" t="str">
        <f t="shared" si="9"/>
        <v>Közép</v>
      </c>
      <c r="N25" s="16" t="e">
        <f>VLOOKUP($A25,#REF!,3,0)</f>
        <v>#REF!</v>
      </c>
      <c r="O25" s="16" t="s">
        <v>47</v>
      </c>
      <c r="P25" s="16">
        <v>14.898</v>
      </c>
      <c r="Q25" s="16">
        <v>9.0839999999999996</v>
      </c>
      <c r="R25" t="s">
        <v>95</v>
      </c>
      <c r="S25" s="16">
        <v>14.05</v>
      </c>
      <c r="T25" s="16">
        <v>11.95</v>
      </c>
      <c r="U25" t="s">
        <v>95</v>
      </c>
      <c r="V25" s="16">
        <v>58.5</v>
      </c>
      <c r="W25" t="s">
        <v>105</v>
      </c>
      <c r="X25" t="s">
        <v>95</v>
      </c>
      <c r="Y25" s="16">
        <v>0</v>
      </c>
      <c r="Z25" s="16">
        <v>0.26041666666666663</v>
      </c>
      <c r="AA25" t="s">
        <v>95</v>
      </c>
      <c r="AB25" s="16">
        <v>2.7631886900030209</v>
      </c>
      <c r="AC25" s="16">
        <v>0</v>
      </c>
      <c r="AD25" s="74" t="s">
        <v>59</v>
      </c>
      <c r="AE25" t="s">
        <v>47</v>
      </c>
      <c r="AF25" t="s">
        <v>103</v>
      </c>
      <c r="AH25">
        <v>86000</v>
      </c>
      <c r="AJ25" t="s">
        <v>95</v>
      </c>
      <c r="AK25" s="16" t="s">
        <v>129</v>
      </c>
    </row>
    <row r="26" spans="1:37" x14ac:dyDescent="0.3">
      <c r="A26" s="11" t="str">
        <f t="shared" si="10"/>
        <v>SY Solandri</v>
      </c>
      <c r="B26" s="17">
        <f t="shared" si="0"/>
        <v>14.67</v>
      </c>
      <c r="C26" s="17">
        <f t="shared" si="1"/>
        <v>8.8550000000000004</v>
      </c>
      <c r="D26" t="str">
        <f t="shared" si="11"/>
        <v>Közép</v>
      </c>
      <c r="E26" s="16">
        <f t="shared" si="12"/>
        <v>14.975</v>
      </c>
      <c r="F26" s="16">
        <f t="shared" si="2"/>
        <v>14.324999999999999</v>
      </c>
      <c r="G26" s="16">
        <f t="shared" si="3"/>
        <v>59.75</v>
      </c>
      <c r="H26" s="16" t="str">
        <f t="shared" si="4"/>
        <v>n.a.</v>
      </c>
      <c r="I26" s="16">
        <f t="shared" si="5"/>
        <v>0.51546391752577314</v>
      </c>
      <c r="J26" s="16">
        <f t="shared" si="6"/>
        <v>0</v>
      </c>
      <c r="K26" s="16">
        <f t="shared" si="7"/>
        <v>0</v>
      </c>
      <c r="L26" s="16">
        <f t="shared" si="8"/>
        <v>0.55555555555555558</v>
      </c>
      <c r="M26" s="16" t="str">
        <f t="shared" si="9"/>
        <v>Közép</v>
      </c>
      <c r="N26" s="16" t="e">
        <f>VLOOKUP($A26,#REF!,3,0)</f>
        <v>#REF!</v>
      </c>
      <c r="O26" s="16" t="s">
        <v>90</v>
      </c>
      <c r="P26" s="16">
        <v>14.67</v>
      </c>
      <c r="Q26" s="16">
        <v>8.8550000000000004</v>
      </c>
      <c r="R26" t="s">
        <v>57</v>
      </c>
      <c r="S26" s="16">
        <v>15.325000000000001</v>
      </c>
      <c r="T26" s="16">
        <v>13.899999999999999</v>
      </c>
      <c r="U26" t="s">
        <v>57</v>
      </c>
      <c r="V26" s="16">
        <v>59.3</v>
      </c>
      <c r="W26" t="s">
        <v>105</v>
      </c>
      <c r="X26" t="s">
        <v>57</v>
      </c>
      <c r="Y26" s="16">
        <v>0</v>
      </c>
      <c r="Z26" s="16">
        <v>0.8462532299741603</v>
      </c>
      <c r="AA26" t="s">
        <v>57</v>
      </c>
      <c r="AB26" s="16">
        <v>2.5904203323558166</v>
      </c>
      <c r="AC26" s="16">
        <v>1.1696306429548564</v>
      </c>
      <c r="AD26" s="74" t="s">
        <v>59</v>
      </c>
      <c r="AE26" t="s">
        <v>90</v>
      </c>
      <c r="AF26" t="s">
        <v>101</v>
      </c>
      <c r="AH26">
        <v>88000</v>
      </c>
      <c r="AJ26" t="s">
        <v>57</v>
      </c>
      <c r="AK26" s="16" t="s">
        <v>126</v>
      </c>
    </row>
    <row r="27" spans="1:37" x14ac:dyDescent="0.3">
      <c r="A27" s="11" t="str">
        <f t="shared" si="10"/>
        <v>RGT PRODUXXION</v>
      </c>
      <c r="B27" s="17">
        <f t="shared" si="0"/>
        <v>15.083</v>
      </c>
      <c r="C27" s="17">
        <f t="shared" si="1"/>
        <v>8.2799999999999994</v>
      </c>
      <c r="D27" t="str">
        <f t="shared" si="11"/>
        <v>Közép</v>
      </c>
      <c r="E27" s="16">
        <f t="shared" si="12"/>
        <v>14.875</v>
      </c>
      <c r="F27" s="16">
        <f t="shared" si="2"/>
        <v>12.574999999999999</v>
      </c>
      <c r="G27" s="16">
        <f t="shared" si="3"/>
        <v>58.9</v>
      </c>
      <c r="H27" s="16" t="str">
        <f t="shared" si="4"/>
        <v>n.a.</v>
      </c>
      <c r="I27" s="16">
        <f t="shared" si="5"/>
        <v>0.51546391752577314</v>
      </c>
      <c r="J27" s="16">
        <f t="shared" si="6"/>
        <v>0.26881720430107531</v>
      </c>
      <c r="K27" s="16">
        <f t="shared" si="7"/>
        <v>0.51020408163265307</v>
      </c>
      <c r="L27" s="16">
        <f t="shared" si="8"/>
        <v>0</v>
      </c>
      <c r="M27" s="16" t="str">
        <f t="shared" si="9"/>
        <v>Közép</v>
      </c>
      <c r="N27" s="16" t="e">
        <f>VLOOKUP($A27,#REF!,3,0)</f>
        <v>#REF!</v>
      </c>
      <c r="O27" s="16" t="s">
        <v>94</v>
      </c>
      <c r="P27" s="16">
        <v>15.083</v>
      </c>
      <c r="Q27" s="16">
        <v>8.2799999999999994</v>
      </c>
      <c r="R27" t="s">
        <v>92</v>
      </c>
      <c r="S27" s="16">
        <v>15.8</v>
      </c>
      <c r="T27" s="16">
        <v>13.875</v>
      </c>
      <c r="U27" t="s">
        <v>92</v>
      </c>
      <c r="V27" s="16">
        <v>60.35</v>
      </c>
      <c r="W27" t="s">
        <v>105</v>
      </c>
      <c r="X27" t="s">
        <v>92</v>
      </c>
      <c r="Y27" s="16">
        <v>0</v>
      </c>
      <c r="Z27" s="16">
        <v>0.26881720430107531</v>
      </c>
      <c r="AA27" t="s">
        <v>92</v>
      </c>
      <c r="AB27" s="16">
        <v>0</v>
      </c>
      <c r="AC27" s="16">
        <v>0.25</v>
      </c>
      <c r="AD27" s="74" t="s">
        <v>59</v>
      </c>
      <c r="AE27" t="s">
        <v>99</v>
      </c>
      <c r="AF27" t="s">
        <v>103</v>
      </c>
      <c r="AH27">
        <v>90000</v>
      </c>
      <c r="AJ27" t="s">
        <v>92</v>
      </c>
      <c r="AK27" s="16" t="s">
        <v>130</v>
      </c>
    </row>
    <row r="28" spans="1:37" x14ac:dyDescent="0.3">
      <c r="A28" s="11" t="str">
        <f t="shared" si="10"/>
        <v>P9985</v>
      </c>
      <c r="B28" s="17">
        <f t="shared" si="0"/>
        <v>14.286</v>
      </c>
      <c r="C28" s="17">
        <f t="shared" si="1"/>
        <v>8.7140000000000004</v>
      </c>
      <c r="D28" t="str">
        <f t="shared" si="11"/>
        <v>Közép</v>
      </c>
      <c r="E28" s="16">
        <f t="shared" si="12"/>
        <v>15.05</v>
      </c>
      <c r="F28" s="16">
        <f t="shared" si="2"/>
        <v>13.174999999999999</v>
      </c>
      <c r="G28" s="16">
        <f t="shared" si="3"/>
        <v>58.8</v>
      </c>
      <c r="H28" s="16" t="str">
        <f t="shared" si="4"/>
        <v>n.a.</v>
      </c>
      <c r="I28" s="16">
        <f t="shared" si="5"/>
        <v>0.26041666666666663</v>
      </c>
      <c r="J28" s="16">
        <f t="shared" si="6"/>
        <v>0</v>
      </c>
      <c r="K28" s="16">
        <f t="shared" si="7"/>
        <v>0.58139534883720934</v>
      </c>
      <c r="L28" s="16">
        <f t="shared" si="8"/>
        <v>0.2808988764044944</v>
      </c>
      <c r="M28" s="16" t="str">
        <f t="shared" si="9"/>
        <v>Közép</v>
      </c>
      <c r="N28" s="16" t="e">
        <f>VLOOKUP($A28,#REF!,3,0)</f>
        <v>#REF!</v>
      </c>
      <c r="O28" s="16" t="s">
        <v>99</v>
      </c>
      <c r="P28" s="16">
        <v>14.286</v>
      </c>
      <c r="Q28" s="16">
        <v>8.7140000000000004</v>
      </c>
      <c r="R28" t="s">
        <v>97</v>
      </c>
      <c r="S28" s="16">
        <v>15.4</v>
      </c>
      <c r="T28" s="16">
        <v>13.4</v>
      </c>
      <c r="U28" t="s">
        <v>97</v>
      </c>
      <c r="V28" s="16">
        <v>59.55</v>
      </c>
      <c r="W28" t="s">
        <v>105</v>
      </c>
      <c r="X28" t="s">
        <v>97</v>
      </c>
      <c r="Y28" s="16">
        <v>0</v>
      </c>
      <c r="Z28" s="16">
        <v>0.56818181818181823</v>
      </c>
      <c r="AA28" t="s">
        <v>97</v>
      </c>
      <c r="AB28" s="16">
        <v>0</v>
      </c>
      <c r="AC28" s="16">
        <v>0</v>
      </c>
      <c r="AD28" s="74" t="s">
        <v>59</v>
      </c>
      <c r="AE28" t="s">
        <v>94</v>
      </c>
      <c r="AF28" t="s">
        <v>101</v>
      </c>
      <c r="AH28">
        <v>92000</v>
      </c>
      <c r="AJ28" t="s">
        <v>97</v>
      </c>
      <c r="AK28" s="16" t="s">
        <v>126</v>
      </c>
    </row>
    <row r="29" spans="1:37" x14ac:dyDescent="0.3">
      <c r="A29" s="11" t="str">
        <f t="shared" si="10"/>
        <v>DKC5075</v>
      </c>
      <c r="B29" s="17">
        <f t="shared" si="0"/>
        <v>14.090999999999999</v>
      </c>
      <c r="C29" s="17">
        <f t="shared" si="1"/>
        <v>8.3439999999999994</v>
      </c>
      <c r="D29" t="str">
        <f t="shared" si="11"/>
        <v>Közép</v>
      </c>
      <c r="E29" s="16">
        <f t="shared" si="12"/>
        <v>15.399999999999999</v>
      </c>
      <c r="F29" s="16">
        <f t="shared" si="2"/>
        <v>13.625</v>
      </c>
      <c r="G29" s="16">
        <f t="shared" si="3"/>
        <v>59.8</v>
      </c>
      <c r="H29" s="16" t="str">
        <f t="shared" si="4"/>
        <v>n.a.</v>
      </c>
      <c r="I29" s="16">
        <f t="shared" si="5"/>
        <v>0.26881720430107531</v>
      </c>
      <c r="J29" s="16">
        <f t="shared" si="6"/>
        <v>0.5617977528089888</v>
      </c>
      <c r="K29" s="16">
        <f t="shared" si="7"/>
        <v>0</v>
      </c>
      <c r="L29" s="16">
        <f t="shared" si="8"/>
        <v>0</v>
      </c>
      <c r="M29" s="16" t="str">
        <f t="shared" si="9"/>
        <v>Közép</v>
      </c>
      <c r="N29" s="16" t="e">
        <f>VLOOKUP($A29,#REF!,3,0)</f>
        <v>#REF!</v>
      </c>
      <c r="O29" s="16" t="s">
        <v>96</v>
      </c>
      <c r="P29" s="16">
        <v>14.090999999999999</v>
      </c>
      <c r="Q29" s="16">
        <v>8.3439999999999994</v>
      </c>
      <c r="R29" t="s">
        <v>48</v>
      </c>
      <c r="S29" s="16">
        <v>15.175000000000001</v>
      </c>
      <c r="T29" s="16">
        <v>12.524999999999999</v>
      </c>
      <c r="U29" t="s">
        <v>48</v>
      </c>
      <c r="V29" s="16">
        <v>59.45</v>
      </c>
      <c r="W29" t="s">
        <v>105</v>
      </c>
      <c r="X29" t="s">
        <v>48</v>
      </c>
      <c r="Y29" s="16">
        <v>0.49504950495049505</v>
      </c>
      <c r="Z29" s="16">
        <v>0.77358474015008971</v>
      </c>
      <c r="AA29" t="s">
        <v>48</v>
      </c>
      <c r="AB29" s="16">
        <v>0.5</v>
      </c>
      <c r="AC29" s="16">
        <v>0</v>
      </c>
      <c r="AD29" s="74" t="s">
        <v>59</v>
      </c>
      <c r="AE29" t="s">
        <v>96</v>
      </c>
      <c r="AF29" t="s">
        <v>102</v>
      </c>
      <c r="AH29">
        <v>94000</v>
      </c>
      <c r="AJ29" t="s">
        <v>48</v>
      </c>
      <c r="AK29" s="16" t="s">
        <v>125</v>
      </c>
    </row>
    <row r="30" spans="1:37" x14ac:dyDescent="0.3">
      <c r="A30" s="11" t="str">
        <f t="shared" si="10"/>
        <v>DKC4712</v>
      </c>
      <c r="B30" s="17">
        <f t="shared" si="0"/>
        <v>14.6</v>
      </c>
      <c r="C30" s="17">
        <f t="shared" si="1"/>
        <v>7.8129999999999997</v>
      </c>
      <c r="D30" t="str">
        <f t="shared" si="11"/>
        <v>Közép</v>
      </c>
      <c r="E30" s="16">
        <f t="shared" si="12"/>
        <v>15.25</v>
      </c>
      <c r="F30" s="16">
        <f t="shared" si="2"/>
        <v>13.175000000000001</v>
      </c>
      <c r="G30" s="16">
        <f t="shared" si="3"/>
        <v>58.55</v>
      </c>
      <c r="H30" s="16" t="str">
        <f t="shared" si="4"/>
        <v>n.a.</v>
      </c>
      <c r="I30" s="16">
        <f t="shared" si="5"/>
        <v>0.51020408163265307</v>
      </c>
      <c r="J30" s="16">
        <f t="shared" si="6"/>
        <v>0</v>
      </c>
      <c r="K30" s="16">
        <f t="shared" si="7"/>
        <v>0.98039215686274506</v>
      </c>
      <c r="L30" s="16">
        <f t="shared" si="8"/>
        <v>11.128831694621169</v>
      </c>
      <c r="M30" s="16" t="str">
        <f t="shared" si="9"/>
        <v>Közép</v>
      </c>
      <c r="N30" s="16" t="e">
        <f>VLOOKUP($A30,#REF!,3,0)</f>
        <v>#REF!</v>
      </c>
      <c r="O30" s="16" t="s">
        <v>98</v>
      </c>
      <c r="P30" s="16">
        <v>14.6</v>
      </c>
      <c r="Q30" s="16">
        <v>7.8129999999999997</v>
      </c>
      <c r="R30" t="s">
        <v>93</v>
      </c>
      <c r="S30" s="16">
        <v>15.799999999999999</v>
      </c>
      <c r="T30" s="16">
        <v>14.574999999999999</v>
      </c>
      <c r="U30" t="s">
        <v>93</v>
      </c>
      <c r="V30" s="16">
        <v>57.95</v>
      </c>
      <c r="W30" t="s">
        <v>105</v>
      </c>
      <c r="X30" t="s">
        <v>93</v>
      </c>
      <c r="Y30" s="16">
        <v>0.25510204081632654</v>
      </c>
      <c r="Z30" s="16">
        <v>0.51546391752577314</v>
      </c>
      <c r="AA30" t="s">
        <v>93</v>
      </c>
      <c r="AB30" s="16">
        <v>0</v>
      </c>
      <c r="AC30" s="16">
        <v>0</v>
      </c>
      <c r="AD30" s="74" t="s">
        <v>59</v>
      </c>
      <c r="AE30" t="s">
        <v>98</v>
      </c>
      <c r="AF30" t="s">
        <v>101</v>
      </c>
      <c r="AH30">
        <v>96000</v>
      </c>
      <c r="AJ30" t="s">
        <v>93</v>
      </c>
      <c r="AK30" s="16" t="s">
        <v>130</v>
      </c>
    </row>
    <row r="31" spans="1:37" x14ac:dyDescent="0.3">
      <c r="A31" s="76" t="s">
        <v>83</v>
      </c>
      <c r="B31" s="78">
        <v>15.404999999999999</v>
      </c>
      <c r="C31" s="78">
        <v>8.9269999999999996</v>
      </c>
      <c r="W31" t="s">
        <v>105</v>
      </c>
      <c r="AH31">
        <v>98000</v>
      </c>
    </row>
    <row r="32" spans="1:37" x14ac:dyDescent="0.3">
      <c r="A32" s="78" t="s">
        <v>85</v>
      </c>
      <c r="B32" s="78">
        <v>17.030999999999999</v>
      </c>
      <c r="C32" s="78">
        <v>9.8079999999999998</v>
      </c>
      <c r="W32" t="s">
        <v>105</v>
      </c>
      <c r="AH32">
        <v>100000</v>
      </c>
    </row>
    <row r="33" spans="1:34" x14ac:dyDescent="0.3">
      <c r="A33" s="78" t="s">
        <v>87</v>
      </c>
      <c r="B33" s="78">
        <v>13.847</v>
      </c>
      <c r="C33" s="78">
        <v>7.585</v>
      </c>
      <c r="W33" t="s">
        <v>105</v>
      </c>
      <c r="AH33">
        <v>102000</v>
      </c>
    </row>
    <row r="34" spans="1:34" x14ac:dyDescent="0.3">
      <c r="AH34">
        <v>104000</v>
      </c>
    </row>
    <row r="35" spans="1:34" x14ac:dyDescent="0.3">
      <c r="AH35">
        <v>106000</v>
      </c>
    </row>
    <row r="36" spans="1:34" x14ac:dyDescent="0.3">
      <c r="AH36">
        <v>108000</v>
      </c>
    </row>
    <row r="37" spans="1:34" x14ac:dyDescent="0.3">
      <c r="AH37">
        <v>110000</v>
      </c>
    </row>
    <row r="38" spans="1:34" x14ac:dyDescent="0.3">
      <c r="AH38">
        <v>112000</v>
      </c>
    </row>
    <row r="39" spans="1:34" x14ac:dyDescent="0.3">
      <c r="AH39">
        <v>114000</v>
      </c>
    </row>
    <row r="40" spans="1:34" x14ac:dyDescent="0.3">
      <c r="AH40">
        <v>116000</v>
      </c>
    </row>
    <row r="41" spans="1:34" x14ac:dyDescent="0.3">
      <c r="AH41">
        <v>118000</v>
      </c>
    </row>
    <row r="42" spans="1:34" x14ac:dyDescent="0.3">
      <c r="AH42">
        <v>120000</v>
      </c>
    </row>
  </sheetData>
  <autoFilter ref="A1:Q30" xr:uid="{95734A0C-F1AB-4ED8-9708-EF1E59AEC4FF}"/>
  <phoneticPr fontId="4" type="noConversion"/>
  <conditionalFormatting sqref="B1:C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C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AG2:AG19" xr:uid="{602B0000-D7C3-49D2-8A66-72743FD755F4}">
      <formula1>$AG$2:$AG$19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F596-A8F1-4E2F-B20F-33069689ED32}">
  <sheetPr>
    <tabColor rgb="FF00B0F0"/>
  </sheetPr>
  <dimension ref="A1:T17"/>
  <sheetViews>
    <sheetView workbookViewId="0">
      <selection sqref="A1:XFD1"/>
    </sheetView>
  </sheetViews>
  <sheetFormatPr defaultRowHeight="14.4" x14ac:dyDescent="0.3"/>
  <sheetData>
    <row r="1" spans="1:20" s="7" customFormat="1" ht="18" x14ac:dyDescent="0.35"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</row>
    <row r="2" spans="1:20" x14ac:dyDescent="0.3">
      <c r="A2" s="2"/>
      <c r="B2" s="2"/>
      <c r="C2" s="2"/>
      <c r="E2" t="s">
        <v>16</v>
      </c>
      <c r="F2" s="2">
        <v>14</v>
      </c>
      <c r="G2" s="2">
        <v>13.5</v>
      </c>
      <c r="H2" s="2">
        <v>13</v>
      </c>
      <c r="I2" s="2">
        <v>13</v>
      </c>
      <c r="J2" s="2">
        <v>12</v>
      </c>
      <c r="K2" s="2">
        <v>11.5</v>
      </c>
      <c r="L2" s="2">
        <v>11</v>
      </c>
      <c r="M2" s="2">
        <v>10.5</v>
      </c>
      <c r="N2" s="2">
        <v>10</v>
      </c>
      <c r="O2" s="2">
        <v>14</v>
      </c>
      <c r="P2" s="2">
        <v>9</v>
      </c>
      <c r="Q2" s="2">
        <v>8.5</v>
      </c>
      <c r="R2" s="2">
        <v>8</v>
      </c>
      <c r="S2" s="2">
        <v>7.5</v>
      </c>
      <c r="T2" s="2">
        <v>7</v>
      </c>
    </row>
    <row r="3" spans="1:20" x14ac:dyDescent="0.3">
      <c r="A3" s="2"/>
      <c r="B3" s="2"/>
      <c r="C3" s="2"/>
      <c r="E3" t="s">
        <v>32</v>
      </c>
      <c r="F3" s="2">
        <v>9</v>
      </c>
      <c r="G3" s="2">
        <v>7.5</v>
      </c>
      <c r="H3" s="2">
        <v>8</v>
      </c>
      <c r="I3" s="2">
        <v>15</v>
      </c>
      <c r="J3" s="2">
        <v>9</v>
      </c>
      <c r="K3" s="2">
        <v>9.5</v>
      </c>
      <c r="L3" s="2">
        <v>14</v>
      </c>
      <c r="M3" s="2">
        <v>10.5</v>
      </c>
      <c r="N3" s="2">
        <v>11</v>
      </c>
      <c r="O3" s="2">
        <v>13</v>
      </c>
      <c r="P3" s="2">
        <v>12</v>
      </c>
      <c r="Q3" s="2">
        <v>12.5</v>
      </c>
      <c r="R3" s="2">
        <v>13</v>
      </c>
      <c r="S3" s="2">
        <v>13.5</v>
      </c>
      <c r="T3" s="2">
        <v>14</v>
      </c>
    </row>
    <row r="4" spans="1:20" x14ac:dyDescent="0.3">
      <c r="A4" s="2"/>
      <c r="B4" s="2"/>
      <c r="C4" s="2"/>
    </row>
    <row r="5" spans="1:20" x14ac:dyDescent="0.3">
      <c r="A5" s="2"/>
      <c r="B5" s="2"/>
      <c r="C5" s="2"/>
    </row>
    <row r="6" spans="1:20" x14ac:dyDescent="0.3">
      <c r="A6" s="2"/>
      <c r="B6" s="2"/>
      <c r="C6" s="2"/>
    </row>
    <row r="7" spans="1:20" x14ac:dyDescent="0.3">
      <c r="A7" s="2"/>
      <c r="B7" s="2"/>
      <c r="C7" s="2"/>
    </row>
    <row r="8" spans="1:20" x14ac:dyDescent="0.3">
      <c r="A8" s="2"/>
      <c r="B8" s="2"/>
      <c r="C8" s="2"/>
    </row>
    <row r="9" spans="1:20" x14ac:dyDescent="0.3">
      <c r="A9" s="2"/>
      <c r="B9" s="2"/>
      <c r="C9" s="2"/>
    </row>
    <row r="10" spans="1:20" x14ac:dyDescent="0.3">
      <c r="A10" s="2"/>
      <c r="B10" s="2"/>
      <c r="C10" s="2"/>
    </row>
    <row r="11" spans="1:20" x14ac:dyDescent="0.3">
      <c r="A11" s="2"/>
      <c r="B11" s="2"/>
      <c r="C11" s="2"/>
    </row>
    <row r="12" spans="1:20" x14ac:dyDescent="0.3">
      <c r="A12" s="2"/>
      <c r="B12" s="2"/>
      <c r="C12" s="2"/>
    </row>
    <row r="13" spans="1:20" x14ac:dyDescent="0.3">
      <c r="A13" s="2"/>
      <c r="B13" s="2"/>
      <c r="C13" s="2"/>
    </row>
    <row r="14" spans="1:20" x14ac:dyDescent="0.3">
      <c r="A14" s="2"/>
      <c r="B14" s="2"/>
      <c r="C14" s="2"/>
    </row>
    <row r="15" spans="1:20" x14ac:dyDescent="0.3">
      <c r="A15" s="2"/>
      <c r="B15" s="2"/>
      <c r="C15" s="2"/>
    </row>
    <row r="16" spans="1:20" x14ac:dyDescent="0.3">
      <c r="A16" s="2"/>
      <c r="B16" s="2"/>
      <c r="C16" s="2"/>
    </row>
    <row r="17" spans="1:3" x14ac:dyDescent="0.3">
      <c r="A17" s="2"/>
      <c r="B17" s="2"/>
      <c r="C17" s="2"/>
    </row>
  </sheetData>
  <sortState xmlns:xlrd2="http://schemas.microsoft.com/office/spreadsheetml/2017/richdata2" ref="B2:B16">
    <sortCondition descending="1" ref="B2:B1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info</vt:lpstr>
      <vt:lpstr>Trend</vt:lpstr>
      <vt:lpstr>KRITÉRIUM</vt:lpstr>
      <vt:lpstr>Munka1</vt:lpstr>
      <vt:lpstr>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Szieberth Dénes</dc:creator>
  <cp:lastModifiedBy>Dénes Szieberth</cp:lastModifiedBy>
  <cp:lastPrinted>2022-10-16T17:19:29Z</cp:lastPrinted>
  <dcterms:created xsi:type="dcterms:W3CDTF">2022-10-16T14:03:29Z</dcterms:created>
  <dcterms:modified xsi:type="dcterms:W3CDTF">2025-01-04T03:37:36Z</dcterms:modified>
</cp:coreProperties>
</file>